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60" windowWidth="11475" windowHeight="2505"/>
  </bookViews>
  <sheets>
    <sheet name="Data" sheetId="2" r:id="rId1"/>
    <sheet name="Electric" sheetId="4" r:id="rId2"/>
    <sheet name="Demand kW" sheetId="12" r:id="rId3"/>
    <sheet name="Load Factor" sheetId="15" r:id="rId4"/>
    <sheet name="kWh vs Temp" sheetId="14" r:id="rId5"/>
    <sheet name="Gas" sheetId="9" r:id="rId6"/>
    <sheet name="Gas vs Temp" sheetId="13" r:id="rId7"/>
    <sheet name="MMBtu" sheetId="7" r:id="rId8"/>
    <sheet name="EUI" sheetId="8" r:id="rId9"/>
    <sheet name="Costs" sheetId="6" r:id="rId10"/>
    <sheet name="Benchmark" sheetId="16" r:id="rId11"/>
  </sheets>
  <calcPr calcId="144525"/>
</workbook>
</file>

<file path=xl/calcChain.xml><?xml version="1.0" encoding="utf-8"?>
<calcChain xmlns="http://schemas.openxmlformats.org/spreadsheetml/2006/main">
  <c r="C3" i="16" l="1"/>
  <c r="C12" i="16" s="1"/>
  <c r="C11" i="16" l="1"/>
  <c r="C10" i="16"/>
  <c r="AB61" i="2" l="1"/>
  <c r="AB60" i="2"/>
  <c r="AB59" i="2"/>
  <c r="AB58" i="2"/>
  <c r="AB57" i="2"/>
  <c r="AB56" i="2"/>
  <c r="AB55" i="2"/>
  <c r="AB54" i="2"/>
  <c r="AB53" i="2"/>
  <c r="AB52" i="2"/>
  <c r="AB51" i="2"/>
  <c r="AB50" i="2"/>
  <c r="AE67" i="2"/>
  <c r="AF67" i="2"/>
  <c r="AE68" i="2"/>
  <c r="AF68" i="2"/>
  <c r="AE69" i="2"/>
  <c r="AF69" i="2"/>
  <c r="AE70" i="2"/>
  <c r="AF70" i="2"/>
  <c r="AE71" i="2"/>
  <c r="AF71" i="2"/>
  <c r="AE72" i="2"/>
  <c r="AF72" i="2"/>
  <c r="AE73" i="2"/>
  <c r="AF73" i="2"/>
  <c r="AE74" i="2"/>
  <c r="AF74" i="2"/>
  <c r="AE75" i="2"/>
  <c r="AF75" i="2"/>
  <c r="AE76" i="2"/>
  <c r="AF76" i="2"/>
  <c r="AE77" i="2"/>
  <c r="AF77" i="2"/>
  <c r="AE78" i="2"/>
  <c r="AF78" i="2"/>
  <c r="AE79" i="2"/>
  <c r="AF79" i="2"/>
  <c r="AE80" i="2"/>
  <c r="AF80" i="2"/>
  <c r="AE81" i="2"/>
  <c r="AF81" i="2"/>
  <c r="AE82" i="2"/>
  <c r="AF82" i="2"/>
  <c r="AE83" i="2"/>
  <c r="AF83" i="2"/>
  <c r="AE84" i="2"/>
  <c r="AF84" i="2"/>
  <c r="AE13" i="2"/>
  <c r="AF13" i="2"/>
  <c r="AE14" i="2"/>
  <c r="AF14" i="2"/>
  <c r="AE15" i="2"/>
  <c r="AF15" i="2"/>
  <c r="AE16" i="2"/>
  <c r="AF16" i="2"/>
  <c r="AE17" i="2"/>
  <c r="AF17" i="2"/>
  <c r="AE18" i="2"/>
  <c r="AF18" i="2"/>
  <c r="AE19" i="2"/>
  <c r="AF19" i="2"/>
  <c r="AE20" i="2"/>
  <c r="AF20" i="2"/>
  <c r="AE21" i="2"/>
  <c r="AF21" i="2"/>
  <c r="AE22" i="2"/>
  <c r="AF22" i="2"/>
  <c r="AE23" i="2"/>
  <c r="AF23" i="2"/>
  <c r="AE24" i="2"/>
  <c r="AF24" i="2"/>
  <c r="AE25" i="2"/>
  <c r="AF25" i="2"/>
  <c r="AE26" i="2"/>
  <c r="AF26" i="2"/>
  <c r="AE27" i="2"/>
  <c r="AF27" i="2"/>
  <c r="AE28" i="2"/>
  <c r="AF28" i="2"/>
  <c r="AE29" i="2"/>
  <c r="AF29" i="2"/>
  <c r="AE30" i="2"/>
  <c r="AF30" i="2"/>
  <c r="AE31" i="2"/>
  <c r="AF31" i="2"/>
  <c r="AE32" i="2"/>
  <c r="AF32" i="2"/>
  <c r="AE33" i="2"/>
  <c r="AF33" i="2"/>
  <c r="AE34" i="2"/>
  <c r="AF34" i="2"/>
  <c r="AE35" i="2"/>
  <c r="AF35" i="2"/>
  <c r="AE36" i="2"/>
  <c r="AF36" i="2"/>
  <c r="AE37" i="2"/>
  <c r="AF37" i="2"/>
  <c r="AE38" i="2"/>
  <c r="AF38" i="2"/>
  <c r="AE39" i="2"/>
  <c r="AF39" i="2"/>
  <c r="AE40" i="2"/>
  <c r="AF40" i="2"/>
  <c r="AE41" i="2"/>
  <c r="AF41" i="2"/>
  <c r="AE42" i="2"/>
  <c r="AF42" i="2"/>
  <c r="AE43" i="2"/>
  <c r="AF43" i="2"/>
  <c r="AE44" i="2"/>
  <c r="AF44" i="2"/>
  <c r="AE45" i="2"/>
  <c r="AF45" i="2"/>
  <c r="AE46" i="2"/>
  <c r="AF46" i="2"/>
  <c r="AE47" i="2"/>
  <c r="AF47" i="2"/>
  <c r="AE48" i="2"/>
  <c r="AF48" i="2"/>
  <c r="AE49" i="2"/>
  <c r="AF49" i="2"/>
  <c r="AE50" i="2"/>
  <c r="AF50" i="2"/>
  <c r="AE51" i="2"/>
  <c r="AF51" i="2"/>
  <c r="AE52" i="2"/>
  <c r="AF52" i="2"/>
  <c r="AE53" i="2"/>
  <c r="AF53" i="2"/>
  <c r="AE54" i="2"/>
  <c r="AF54" i="2"/>
  <c r="AE55" i="2"/>
  <c r="AF55" i="2"/>
  <c r="AE56" i="2"/>
  <c r="AF56" i="2"/>
  <c r="AE57" i="2"/>
  <c r="AF57" i="2"/>
  <c r="AE58" i="2"/>
  <c r="AF58" i="2"/>
  <c r="AE59" i="2"/>
  <c r="AF59" i="2"/>
  <c r="AE60" i="2"/>
  <c r="AF60" i="2"/>
  <c r="AE61" i="2"/>
  <c r="AF61" i="2"/>
  <c r="AE62" i="2"/>
  <c r="AF62" i="2"/>
  <c r="AE63" i="2"/>
  <c r="AF63" i="2"/>
  <c r="AE64" i="2"/>
  <c r="AF64" i="2"/>
  <c r="AE65" i="2"/>
  <c r="AF65" i="2"/>
  <c r="AE66" i="2"/>
  <c r="AF66" i="2"/>
  <c r="AF12" i="2"/>
  <c r="AE12" i="2"/>
  <c r="W33" i="2"/>
  <c r="X33" i="2"/>
  <c r="Y33" i="2"/>
  <c r="Z33" i="2" s="1"/>
  <c r="W34" i="2"/>
  <c r="X34" i="2"/>
  <c r="Y34" i="2"/>
  <c r="Z34" i="2" s="1"/>
  <c r="W35" i="2"/>
  <c r="X35" i="2"/>
  <c r="Y35" i="2"/>
  <c r="Z35" i="2" s="1"/>
  <c r="W36" i="2"/>
  <c r="X36" i="2"/>
  <c r="Y36" i="2"/>
  <c r="Z36" i="2" s="1"/>
  <c r="W37" i="2"/>
  <c r="X37" i="2"/>
  <c r="Y37" i="2"/>
  <c r="Z37" i="2" s="1"/>
  <c r="W38" i="2"/>
  <c r="X38" i="2"/>
  <c r="Y38" i="2"/>
  <c r="Z38" i="2" s="1"/>
  <c r="W39" i="2"/>
  <c r="X39" i="2"/>
  <c r="Y39" i="2"/>
  <c r="Z39" i="2" s="1"/>
  <c r="W40" i="2"/>
  <c r="X40" i="2"/>
  <c r="Y40" i="2"/>
  <c r="Z40" i="2" s="1"/>
  <c r="W41" i="2"/>
  <c r="X41" i="2"/>
  <c r="Y41" i="2"/>
  <c r="Z41" i="2" s="1"/>
  <c r="W42" i="2"/>
  <c r="X42" i="2"/>
  <c r="Y42" i="2"/>
  <c r="Z42" i="2" s="1"/>
  <c r="W43" i="2"/>
  <c r="X43" i="2"/>
  <c r="Y43" i="2"/>
  <c r="Z43" i="2" s="1"/>
  <c r="W44" i="2"/>
  <c r="X44" i="2"/>
  <c r="Y44" i="2"/>
  <c r="Z44" i="2" s="1"/>
  <c r="W45" i="2"/>
  <c r="X45" i="2"/>
  <c r="Y45" i="2"/>
  <c r="Z45" i="2" s="1"/>
  <c r="W46" i="2"/>
  <c r="X46" i="2"/>
  <c r="Y46" i="2"/>
  <c r="Z46" i="2" s="1"/>
  <c r="D52" i="2" l="1"/>
  <c r="D53" i="2"/>
  <c r="D54" i="2"/>
  <c r="D55" i="2"/>
  <c r="D56" i="2"/>
  <c r="D57" i="2"/>
  <c r="D58" i="2"/>
  <c r="D59" i="2"/>
  <c r="D60" i="2"/>
  <c r="D61" i="2"/>
  <c r="D51" i="2"/>
  <c r="D34" i="2"/>
  <c r="D50" i="2"/>
  <c r="W13" i="2"/>
  <c r="W14" i="2"/>
  <c r="W15" i="2"/>
  <c r="W16" i="2"/>
  <c r="W17" i="2"/>
  <c r="W18" i="2"/>
  <c r="W19" i="2"/>
  <c r="W20" i="2"/>
  <c r="W21" i="2"/>
  <c r="W22" i="2"/>
  <c r="W23" i="2"/>
  <c r="W24" i="2"/>
  <c r="W25" i="2"/>
  <c r="W26" i="2"/>
  <c r="W27" i="2"/>
  <c r="W28" i="2"/>
  <c r="W29" i="2"/>
  <c r="W30" i="2"/>
  <c r="W31" i="2"/>
  <c r="W32" i="2"/>
  <c r="W47" i="2"/>
  <c r="W48" i="2"/>
  <c r="W49" i="2"/>
  <c r="W50" i="2"/>
  <c r="W51" i="2"/>
  <c r="W52" i="2"/>
  <c r="W53" i="2"/>
  <c r="W54" i="2"/>
  <c r="W55" i="2"/>
  <c r="W56" i="2"/>
  <c r="W57" i="2"/>
  <c r="W58" i="2"/>
  <c r="W59" i="2"/>
  <c r="W60" i="2"/>
  <c r="W61" i="2"/>
  <c r="W62" i="2"/>
  <c r="W63" i="2"/>
  <c r="W64" i="2"/>
  <c r="W65" i="2"/>
  <c r="W66" i="2"/>
  <c r="W12" i="2"/>
  <c r="M12" i="2"/>
  <c r="O12" i="2"/>
  <c r="V12" i="2"/>
  <c r="X12" i="2"/>
  <c r="B24" i="2"/>
  <c r="A24" i="2" s="1"/>
  <c r="A12" i="2"/>
  <c r="B36" i="2" l="1"/>
  <c r="A36" i="2" s="1"/>
  <c r="K76" i="2" l="1"/>
  <c r="BE76" i="2" s="1"/>
  <c r="K84" i="2"/>
  <c r="BE84" i="2"/>
  <c r="K83" i="2"/>
  <c r="K82" i="2"/>
  <c r="K81" i="2"/>
  <c r="BE81" i="2"/>
  <c r="K80" i="2"/>
  <c r="BE80" i="2" s="1"/>
  <c r="K79" i="2"/>
  <c r="K78" i="2"/>
  <c r="BE78" i="2" s="1"/>
  <c r="K77" i="2"/>
  <c r="BE77" i="2" s="1"/>
  <c r="K75" i="2"/>
  <c r="BE75" i="2" s="1"/>
  <c r="Z75" i="2"/>
  <c r="K74" i="2"/>
  <c r="K73" i="2"/>
  <c r="BE73" i="2" s="1"/>
  <c r="K72" i="2"/>
  <c r="BE72" i="2" s="1"/>
  <c r="K71" i="2"/>
  <c r="BE71" i="2" s="1"/>
  <c r="K70" i="2"/>
  <c r="BE70" i="2" s="1"/>
  <c r="K69" i="2"/>
  <c r="K68" i="2"/>
  <c r="BE68" i="2" s="1"/>
  <c r="K67" i="2"/>
  <c r="BE67" i="2" s="1"/>
  <c r="Z67" i="2"/>
  <c r="K66" i="2"/>
  <c r="BE66" i="2" s="1"/>
  <c r="K65" i="2"/>
  <c r="K64" i="2"/>
  <c r="BE64" i="2" s="1"/>
  <c r="K63" i="2"/>
  <c r="BE63" i="2" s="1"/>
  <c r="K62" i="2"/>
  <c r="K61" i="2"/>
  <c r="K60" i="2"/>
  <c r="BE60" i="2" s="1"/>
  <c r="K59" i="2"/>
  <c r="BE59" i="2" s="1"/>
  <c r="K58" i="2"/>
  <c r="K57" i="2"/>
  <c r="BE57" i="2" s="1"/>
  <c r="K56" i="2"/>
  <c r="BE56" i="2" s="1"/>
  <c r="K55" i="2"/>
  <c r="BE55" i="2" s="1"/>
  <c r="K54" i="2"/>
  <c r="BE54" i="2" s="1"/>
  <c r="K53" i="2"/>
  <c r="K52" i="2"/>
  <c r="K51" i="2"/>
  <c r="BE51" i="2" s="1"/>
  <c r="K50" i="2"/>
  <c r="K49" i="2"/>
  <c r="BE49" i="2" s="1"/>
  <c r="K48" i="2"/>
  <c r="BE48" i="2" s="1"/>
  <c r="K47" i="2"/>
  <c r="BE47" i="2" s="1"/>
  <c r="K46" i="2"/>
  <c r="BE46" i="2" s="1"/>
  <c r="K45" i="2"/>
  <c r="BE45" i="2" s="1"/>
  <c r="K44" i="2"/>
  <c r="BE44" i="2" s="1"/>
  <c r="K43" i="2"/>
  <c r="BE43" i="2" s="1"/>
  <c r="K42" i="2"/>
  <c r="BE42" i="2" s="1"/>
  <c r="K41" i="2"/>
  <c r="BE41" i="2" s="1"/>
  <c r="K40" i="2"/>
  <c r="BE40" i="2" s="1"/>
  <c r="K39" i="2"/>
  <c r="BE39" i="2" s="1"/>
  <c r="K38" i="2"/>
  <c r="BE38" i="2" s="1"/>
  <c r="K37" i="2"/>
  <c r="BE37" i="2" s="1"/>
  <c r="K36" i="2"/>
  <c r="BE36" i="2" s="1"/>
  <c r="K35" i="2"/>
  <c r="BE35" i="2" s="1"/>
  <c r="K34" i="2"/>
  <c r="BE34" i="2" s="1"/>
  <c r="K33" i="2"/>
  <c r="BE33" i="2" s="1"/>
  <c r="K32" i="2"/>
  <c r="BE32" i="2" s="1"/>
  <c r="K31" i="2"/>
  <c r="BE31" i="2" s="1"/>
  <c r="K30" i="2"/>
  <c r="BE30" i="2" s="1"/>
  <c r="K29" i="2"/>
  <c r="BE29" i="2" s="1"/>
  <c r="K28" i="2"/>
  <c r="BE28" i="2" s="1"/>
  <c r="K27" i="2"/>
  <c r="BE27" i="2" s="1"/>
  <c r="K26" i="2"/>
  <c r="BE26" i="2" s="1"/>
  <c r="K25" i="2"/>
  <c r="K24" i="2"/>
  <c r="BE24" i="2" s="1"/>
  <c r="K23" i="2"/>
  <c r="BE23" i="2" s="1"/>
  <c r="AG48" i="2"/>
  <c r="BF48" i="2" s="1"/>
  <c r="AG75" i="2"/>
  <c r="X71" i="2"/>
  <c r="Y71" i="2"/>
  <c r="Z71" i="2" s="1"/>
  <c r="X72" i="2"/>
  <c r="Y72" i="2"/>
  <c r="X73" i="2"/>
  <c r="Y73" i="2"/>
  <c r="Z73" i="2"/>
  <c r="X74" i="2"/>
  <c r="Y74" i="2"/>
  <c r="Z74" i="2" s="1"/>
  <c r="M64" i="2"/>
  <c r="AH64" i="2"/>
  <c r="M65" i="2"/>
  <c r="AH65" i="2"/>
  <c r="M66" i="2"/>
  <c r="AH66" i="2"/>
  <c r="M67" i="2"/>
  <c r="AX67" i="2" s="1"/>
  <c r="AH67" i="2"/>
  <c r="M68" i="2"/>
  <c r="AH68" i="2"/>
  <c r="M69" i="2"/>
  <c r="AH69" i="2"/>
  <c r="M70" i="2"/>
  <c r="AH70" i="2"/>
  <c r="M71" i="2"/>
  <c r="AH71" i="2"/>
  <c r="M72" i="2"/>
  <c r="AX72" i="2" s="1"/>
  <c r="AH72" i="2"/>
  <c r="AI74" i="2" s="1"/>
  <c r="BA74" i="2" s="1"/>
  <c r="M61" i="2"/>
  <c r="AH61" i="2"/>
  <c r="M62" i="2"/>
  <c r="AH62" i="2"/>
  <c r="M63" i="2"/>
  <c r="AH63" i="2"/>
  <c r="M37" i="2"/>
  <c r="AH37" i="2"/>
  <c r="AI43" i="2" s="1"/>
  <c r="BA43" i="2" s="1"/>
  <c r="M38" i="2"/>
  <c r="AH38" i="2"/>
  <c r="M39" i="2"/>
  <c r="AH39" i="2"/>
  <c r="AX39" i="2" s="1"/>
  <c r="M40" i="2"/>
  <c r="AH40" i="2"/>
  <c r="M41" i="2"/>
  <c r="AH41" i="2"/>
  <c r="M42" i="2"/>
  <c r="AX42" i="2" s="1"/>
  <c r="AH42" i="2"/>
  <c r="M43" i="2"/>
  <c r="AH43" i="2"/>
  <c r="M44" i="2"/>
  <c r="AX44" i="2" s="1"/>
  <c r="AH44" i="2"/>
  <c r="M45" i="2"/>
  <c r="AH45" i="2"/>
  <c r="M46" i="2"/>
  <c r="AX46" i="2" s="1"/>
  <c r="AH46" i="2"/>
  <c r="M47" i="2"/>
  <c r="AH47" i="2"/>
  <c r="AX47" i="2" s="1"/>
  <c r="M48" i="2"/>
  <c r="AX48" i="2" s="1"/>
  <c r="AH48" i="2"/>
  <c r="M55" i="2"/>
  <c r="AH55" i="2"/>
  <c r="M56" i="2"/>
  <c r="AH56" i="2"/>
  <c r="M57" i="2"/>
  <c r="AH57" i="2"/>
  <c r="M58" i="2"/>
  <c r="AH58" i="2"/>
  <c r="M59" i="2"/>
  <c r="AH59" i="2"/>
  <c r="AX59" i="2" s="1"/>
  <c r="M60" i="2"/>
  <c r="AH60" i="2"/>
  <c r="AH33" i="2"/>
  <c r="M33" i="2"/>
  <c r="AH34" i="2"/>
  <c r="M34" i="2"/>
  <c r="AH35" i="2"/>
  <c r="M35" i="2"/>
  <c r="AX35" i="2" s="1"/>
  <c r="AH36" i="2"/>
  <c r="M36" i="2"/>
  <c r="M50" i="2"/>
  <c r="AH50" i="2"/>
  <c r="M51" i="2"/>
  <c r="AH51" i="2"/>
  <c r="M52" i="2"/>
  <c r="AH52" i="2"/>
  <c r="M53" i="2"/>
  <c r="AH53" i="2"/>
  <c r="M54" i="2"/>
  <c r="AH54" i="2"/>
  <c r="AI65" i="2" s="1"/>
  <c r="BA65" i="2" s="1"/>
  <c r="M73" i="2"/>
  <c r="AH73" i="2"/>
  <c r="M74" i="2"/>
  <c r="AH74" i="2"/>
  <c r="M75" i="2"/>
  <c r="AH75" i="2"/>
  <c r="M76" i="2"/>
  <c r="AH76" i="2"/>
  <c r="M77" i="2"/>
  <c r="AX77" i="2" s="1"/>
  <c r="AH77" i="2"/>
  <c r="M78" i="2"/>
  <c r="AH78" i="2"/>
  <c r="M79" i="2"/>
  <c r="AH79" i="2"/>
  <c r="M80" i="2"/>
  <c r="AH80" i="2"/>
  <c r="M81" i="2"/>
  <c r="AH81" i="2"/>
  <c r="AX81" i="2" s="1"/>
  <c r="M82" i="2"/>
  <c r="AH82" i="2"/>
  <c r="M83" i="2"/>
  <c r="AH83" i="2"/>
  <c r="M84" i="2"/>
  <c r="AH84" i="2"/>
  <c r="AS85"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20" i="2"/>
  <c r="M13" i="2"/>
  <c r="M14" i="2"/>
  <c r="M15" i="2"/>
  <c r="M16" i="2"/>
  <c r="M17" i="2"/>
  <c r="M18" i="2"/>
  <c r="M19" i="2"/>
  <c r="M20" i="2"/>
  <c r="M21" i="2"/>
  <c r="M22" i="2"/>
  <c r="M23" i="2"/>
  <c r="M24" i="2"/>
  <c r="M25" i="2"/>
  <c r="M26" i="2"/>
  <c r="M27" i="2"/>
  <c r="M28" i="2"/>
  <c r="M29" i="2"/>
  <c r="M30" i="2"/>
  <c r="M31" i="2"/>
  <c r="M32" i="2"/>
  <c r="M49" i="2"/>
  <c r="AH13" i="2"/>
  <c r="AH14" i="2"/>
  <c r="AH15" i="2"/>
  <c r="AH16" i="2"/>
  <c r="AH17" i="2"/>
  <c r="AX17" i="2" s="1"/>
  <c r="AH18" i="2"/>
  <c r="AH19" i="2"/>
  <c r="AH20" i="2"/>
  <c r="AH21" i="2"/>
  <c r="AX21" i="2" s="1"/>
  <c r="AH22" i="2"/>
  <c r="AH23" i="2"/>
  <c r="AH24" i="2"/>
  <c r="AH25" i="2"/>
  <c r="AH26" i="2"/>
  <c r="AH27" i="2"/>
  <c r="AH28" i="2"/>
  <c r="AH29" i="2"/>
  <c r="AH30" i="2"/>
  <c r="AH31" i="2"/>
  <c r="AH32" i="2"/>
  <c r="AH49" i="2"/>
  <c r="AI60" i="2" s="1"/>
  <c r="BA60" i="2" s="1"/>
  <c r="AH12" i="2"/>
  <c r="C5" i="16"/>
  <c r="AW25" i="16" s="1"/>
  <c r="J40" i="16"/>
  <c r="AS13" i="2"/>
  <c r="AS14" i="2"/>
  <c r="AS15" i="2"/>
  <c r="AS16" i="2"/>
  <c r="AS17" i="2"/>
  <c r="AS18" i="2"/>
  <c r="AS19" i="2"/>
  <c r="AS12"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23" i="2"/>
  <c r="AP24" i="2"/>
  <c r="AG24" i="2"/>
  <c r="BF24" i="2" s="1"/>
  <c r="AP25" i="2"/>
  <c r="AQ25" i="2" s="1"/>
  <c r="AG25" i="2"/>
  <c r="AP26" i="2"/>
  <c r="AG26" i="2"/>
  <c r="BF26" i="2" s="1"/>
  <c r="AP27" i="2"/>
  <c r="AG27" i="2"/>
  <c r="AL27" i="2" s="1"/>
  <c r="AP28" i="2"/>
  <c r="AG28" i="2"/>
  <c r="AP29" i="2"/>
  <c r="AG29" i="2"/>
  <c r="AQ29" i="2" s="1"/>
  <c r="AP30" i="2"/>
  <c r="AG30" i="2"/>
  <c r="BF30" i="2" s="1"/>
  <c r="AP31" i="2"/>
  <c r="AG31" i="2"/>
  <c r="AP32" i="2"/>
  <c r="AG32" i="2"/>
  <c r="AP33" i="2"/>
  <c r="AG33" i="2"/>
  <c r="BF33" i="2" s="1"/>
  <c r="AP34" i="2"/>
  <c r="AQ34" i="2" s="1"/>
  <c r="AG34" i="2"/>
  <c r="BF34" i="2" s="1"/>
  <c r="AP35" i="2"/>
  <c r="AG35" i="2"/>
  <c r="AP36" i="2"/>
  <c r="AG36" i="2"/>
  <c r="BF36" i="2" s="1"/>
  <c r="AP37" i="2"/>
  <c r="AG37" i="2"/>
  <c r="BF37" i="2" s="1"/>
  <c r="AP38" i="2"/>
  <c r="AG38" i="2"/>
  <c r="AP39" i="2"/>
  <c r="AG39" i="2"/>
  <c r="BF39" i="2" s="1"/>
  <c r="AP40" i="2"/>
  <c r="AG40" i="2"/>
  <c r="BF40" i="2" s="1"/>
  <c r="AP41" i="2"/>
  <c r="AG41" i="2"/>
  <c r="BF41" i="2" s="1"/>
  <c r="AP42" i="2"/>
  <c r="AG42" i="2"/>
  <c r="BF42" i="2" s="1"/>
  <c r="AP43" i="2"/>
  <c r="AG43" i="2"/>
  <c r="AQ43" i="2"/>
  <c r="AP44" i="2"/>
  <c r="AG44" i="2"/>
  <c r="BF44" i="2" s="1"/>
  <c r="AP45" i="2"/>
  <c r="AG45" i="2"/>
  <c r="BF45" i="2" s="1"/>
  <c r="AP46" i="2"/>
  <c r="AG46" i="2"/>
  <c r="BF46" i="2" s="1"/>
  <c r="AP47" i="2"/>
  <c r="AG47" i="2"/>
  <c r="BF47" i="2" s="1"/>
  <c r="AP48" i="2"/>
  <c r="AP49" i="2"/>
  <c r="AG49" i="2"/>
  <c r="AQ49" i="2" s="1"/>
  <c r="AP50" i="2"/>
  <c r="AG50" i="2"/>
  <c r="AP51" i="2"/>
  <c r="AG51" i="2"/>
  <c r="BF51" i="2" s="1"/>
  <c r="AP52" i="2"/>
  <c r="AG52" i="2"/>
  <c r="AP53" i="2"/>
  <c r="AG53" i="2"/>
  <c r="BF53" i="2" s="1"/>
  <c r="AP54" i="2"/>
  <c r="AG54" i="2"/>
  <c r="BF54" i="2" s="1"/>
  <c r="AP55" i="2"/>
  <c r="AG55" i="2"/>
  <c r="AP56" i="2"/>
  <c r="AG56" i="2"/>
  <c r="BF56" i="2" s="1"/>
  <c r="AP57" i="2"/>
  <c r="AG57" i="2"/>
  <c r="AP58" i="2"/>
  <c r="AG58" i="2"/>
  <c r="AP59" i="2"/>
  <c r="AG59" i="2"/>
  <c r="BF59" i="2" s="1"/>
  <c r="AP60" i="2"/>
  <c r="AG60" i="2"/>
  <c r="BF60" i="2" s="1"/>
  <c r="AP61" i="2"/>
  <c r="AG61" i="2"/>
  <c r="BF61" i="2" s="1"/>
  <c r="AL61" i="2"/>
  <c r="AP62" i="2"/>
  <c r="AG62" i="2"/>
  <c r="BF62" i="2" s="1"/>
  <c r="AP63" i="2"/>
  <c r="AQ63" i="2" s="1"/>
  <c r="AG63" i="2"/>
  <c r="BF63" i="2" s="1"/>
  <c r="AP64" i="2"/>
  <c r="AG64" i="2"/>
  <c r="AP65" i="2"/>
  <c r="AQ65" i="2" s="1"/>
  <c r="AG65" i="2"/>
  <c r="AP66" i="2"/>
  <c r="AG66" i="2"/>
  <c r="BF66" i="2" s="1"/>
  <c r="AP67" i="2"/>
  <c r="AQ67" i="2" s="1"/>
  <c r="AG67" i="2"/>
  <c r="AL67" i="2" s="1"/>
  <c r="AP68" i="2"/>
  <c r="AQ68" i="2" s="1"/>
  <c r="AG68" i="2"/>
  <c r="BF68" i="2" s="1"/>
  <c r="AP69" i="2"/>
  <c r="AQ69" i="2"/>
  <c r="AG69" i="2"/>
  <c r="BF69" i="2" s="1"/>
  <c r="AP70" i="2"/>
  <c r="AG70" i="2"/>
  <c r="AL70" i="2" s="1"/>
  <c r="AQ70" i="2"/>
  <c r="AP71" i="2"/>
  <c r="AG71" i="2"/>
  <c r="BF71" i="2" s="1"/>
  <c r="AP72" i="2"/>
  <c r="AQ72" i="2"/>
  <c r="AG72" i="2"/>
  <c r="BF72" i="2" s="1"/>
  <c r="AP73" i="2"/>
  <c r="AG73" i="2"/>
  <c r="BF73" i="2" s="1"/>
  <c r="AL73" i="2"/>
  <c r="AP74" i="2"/>
  <c r="AG74" i="2"/>
  <c r="BF74" i="2" s="1"/>
  <c r="AQ74" i="2"/>
  <c r="AP75" i="2"/>
  <c r="AP76" i="2"/>
  <c r="AG76" i="2"/>
  <c r="BF76" i="2" s="1"/>
  <c r="AQ76" i="2"/>
  <c r="AP77" i="2"/>
  <c r="AG77" i="2"/>
  <c r="BF77" i="2" s="1"/>
  <c r="AQ77" i="2"/>
  <c r="AP78" i="2"/>
  <c r="AG78" i="2"/>
  <c r="BF78" i="2" s="1"/>
  <c r="AQ78" i="2"/>
  <c r="AP79" i="2"/>
  <c r="AG79" i="2"/>
  <c r="BF79" i="2" s="1"/>
  <c r="AQ79" i="2"/>
  <c r="AP80" i="2"/>
  <c r="AG80" i="2"/>
  <c r="BF80" i="2" s="1"/>
  <c r="AQ80" i="2"/>
  <c r="AP81" i="2"/>
  <c r="AG81" i="2"/>
  <c r="BF81" i="2" s="1"/>
  <c r="AQ81" i="2"/>
  <c r="AP82" i="2"/>
  <c r="AG82" i="2"/>
  <c r="BF82" i="2" s="1"/>
  <c r="AQ82" i="2"/>
  <c r="AP83" i="2"/>
  <c r="AG83" i="2"/>
  <c r="BF83" i="2" s="1"/>
  <c r="AQ83" i="2"/>
  <c r="AP84" i="2"/>
  <c r="AG84" i="2"/>
  <c r="BF84" i="2" s="1"/>
  <c r="AQ84" i="2"/>
  <c r="AP23" i="2"/>
  <c r="AG23" i="2"/>
  <c r="BF23" i="2" s="1"/>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2" i="2"/>
  <c r="AO53" i="2"/>
  <c r="AO54" i="2"/>
  <c r="AO55" i="2"/>
  <c r="AO56" i="2"/>
  <c r="AO57" i="2"/>
  <c r="AO58" i="2"/>
  <c r="AO59" i="2"/>
  <c r="AO60" i="2"/>
  <c r="AO61" i="2"/>
  <c r="AO62" i="2"/>
  <c r="AO63" i="2"/>
  <c r="AO64" i="2"/>
  <c r="AO65" i="2"/>
  <c r="AO66" i="2"/>
  <c r="AO67" i="2"/>
  <c r="AO68" i="2"/>
  <c r="AO69" i="2"/>
  <c r="AO70" i="2"/>
  <c r="AO71" i="2"/>
  <c r="AO72" i="2"/>
  <c r="AO73" i="2"/>
  <c r="AO74" i="2"/>
  <c r="AO75" i="2"/>
  <c r="AO76" i="2"/>
  <c r="AO77" i="2"/>
  <c r="AO78" i="2"/>
  <c r="AO79" i="2"/>
  <c r="AO80" i="2"/>
  <c r="AO81" i="2"/>
  <c r="AO82" i="2"/>
  <c r="AO83" i="2"/>
  <c r="AO84" i="2"/>
  <c r="AO12" i="2"/>
  <c r="AK24" i="2"/>
  <c r="AK36" i="2"/>
  <c r="AL36" i="2" s="1"/>
  <c r="AK25" i="2"/>
  <c r="AL25" i="2" s="1"/>
  <c r="AK37" i="2"/>
  <c r="AL37" i="2" s="1"/>
  <c r="AK26" i="2"/>
  <c r="AK38" i="2"/>
  <c r="AK27" i="2"/>
  <c r="AK39" i="2"/>
  <c r="AL39" i="2" s="1"/>
  <c r="AK28" i="2"/>
  <c r="AK40" i="2"/>
  <c r="AK29" i="2"/>
  <c r="AL29" i="2"/>
  <c r="AK41" i="2"/>
  <c r="AK30" i="2"/>
  <c r="AK42" i="2"/>
  <c r="AK31" i="2"/>
  <c r="AK43" i="2"/>
  <c r="AK32" i="2"/>
  <c r="AK44" i="2"/>
  <c r="AL44" i="2"/>
  <c r="AK33" i="2"/>
  <c r="AL33" i="2" s="1"/>
  <c r="AK45" i="2"/>
  <c r="AK34" i="2"/>
  <c r="AL34" i="2" s="1"/>
  <c r="AK46" i="2"/>
  <c r="AL46" i="2" s="1"/>
  <c r="AK35" i="2"/>
  <c r="AL35" i="2" s="1"/>
  <c r="AN47" i="2" s="1"/>
  <c r="AK47" i="2"/>
  <c r="AL47" i="2"/>
  <c r="AK48" i="2"/>
  <c r="AL48" i="2"/>
  <c r="AK49" i="2"/>
  <c r="AL49" i="2" s="1"/>
  <c r="AK50" i="2"/>
  <c r="AL50" i="2" s="1"/>
  <c r="AK51" i="2"/>
  <c r="AK52" i="2"/>
  <c r="AK53" i="2"/>
  <c r="AK54" i="2"/>
  <c r="AK55" i="2"/>
  <c r="AK56" i="2"/>
  <c r="AL56" i="2"/>
  <c r="AK57" i="2"/>
  <c r="AK58" i="2"/>
  <c r="AK59" i="2"/>
  <c r="AL59" i="2"/>
  <c r="AN71" i="2" s="1"/>
  <c r="AK60" i="2"/>
  <c r="AL60" i="2" s="1"/>
  <c r="AK61" i="2"/>
  <c r="AK62" i="2"/>
  <c r="AL62" i="2" s="1"/>
  <c r="AN74" i="2" s="1"/>
  <c r="AK63" i="2"/>
  <c r="AL63" i="2"/>
  <c r="AK64" i="2"/>
  <c r="AL64" i="2"/>
  <c r="AK65" i="2"/>
  <c r="AK66" i="2"/>
  <c r="AL66" i="2" s="1"/>
  <c r="AK67" i="2"/>
  <c r="AK68" i="2"/>
  <c r="AK69" i="2"/>
  <c r="AL69" i="2" s="1"/>
  <c r="AK70" i="2"/>
  <c r="AK71" i="2"/>
  <c r="AL71" i="2"/>
  <c r="AK72" i="2"/>
  <c r="AL72" i="2" s="1"/>
  <c r="AK73" i="2"/>
  <c r="AK74" i="2"/>
  <c r="AK75" i="2"/>
  <c r="AK76" i="2"/>
  <c r="AL76" i="2"/>
  <c r="AN76" i="2"/>
  <c r="AK77" i="2"/>
  <c r="AL77" i="2"/>
  <c r="AN77" i="2"/>
  <c r="AK78" i="2"/>
  <c r="AL78" i="2"/>
  <c r="AN78" i="2"/>
  <c r="AK79" i="2"/>
  <c r="AL79" i="2"/>
  <c r="AN79" i="2"/>
  <c r="AK80" i="2"/>
  <c r="AL80" i="2"/>
  <c r="AN80" i="2"/>
  <c r="AK81" i="2"/>
  <c r="AL81" i="2"/>
  <c r="AN81" i="2"/>
  <c r="AK82" i="2"/>
  <c r="AL82" i="2"/>
  <c r="AN82" i="2"/>
  <c r="AK83" i="2"/>
  <c r="AL83" i="2"/>
  <c r="AN83" i="2"/>
  <c r="AK84" i="2"/>
  <c r="AL84" i="2"/>
  <c r="AN84" i="2"/>
  <c r="AK23" i="2"/>
  <c r="AJ13" i="2"/>
  <c r="AJ25" i="2"/>
  <c r="AJ14" i="2"/>
  <c r="AJ26" i="2"/>
  <c r="AJ15" i="2"/>
  <c r="AJ27" i="2"/>
  <c r="AJ16" i="2"/>
  <c r="AJ28" i="2"/>
  <c r="AM28" i="2" s="1"/>
  <c r="AJ17" i="2"/>
  <c r="AJ29" i="2"/>
  <c r="AM29" i="2" s="1"/>
  <c r="AJ18" i="2"/>
  <c r="AM30" i="2" s="1"/>
  <c r="AJ30" i="2"/>
  <c r="AJ19" i="2"/>
  <c r="AJ31" i="2"/>
  <c r="AM43" i="2" s="1"/>
  <c r="AJ20" i="2"/>
  <c r="AM32" i="2" s="1"/>
  <c r="AJ32" i="2"/>
  <c r="AJ21" i="2"/>
  <c r="AJ33" i="2"/>
  <c r="AM33" i="2" s="1"/>
  <c r="AJ22" i="2"/>
  <c r="AJ34" i="2"/>
  <c r="AJ23" i="2"/>
  <c r="AJ35" i="2"/>
  <c r="AM35" i="2" s="1"/>
  <c r="AJ24" i="2"/>
  <c r="AJ36" i="2"/>
  <c r="AJ37" i="2"/>
  <c r="AM37" i="2" s="1"/>
  <c r="AJ38" i="2"/>
  <c r="AJ39" i="2"/>
  <c r="AJ40" i="2"/>
  <c r="AM40" i="2"/>
  <c r="AJ41" i="2"/>
  <c r="AJ42" i="2"/>
  <c r="AM42" i="2" s="1"/>
  <c r="AJ43" i="2"/>
  <c r="AJ44" i="2"/>
  <c r="AJ45" i="2"/>
  <c r="AM45" i="2" s="1"/>
  <c r="AJ46" i="2"/>
  <c r="AJ47" i="2"/>
  <c r="AJ48" i="2"/>
  <c r="AJ49" i="2"/>
  <c r="AJ50" i="2"/>
  <c r="AJ51" i="2"/>
  <c r="AJ52" i="2"/>
  <c r="AJ53" i="2"/>
  <c r="AJ54" i="2"/>
  <c r="AJ55" i="2"/>
  <c r="AJ56" i="2"/>
  <c r="AJ57" i="2"/>
  <c r="AJ58" i="2"/>
  <c r="AM58" i="2"/>
  <c r="AJ59" i="2"/>
  <c r="AJ60" i="2"/>
  <c r="AJ61" i="2"/>
  <c r="AM73" i="2"/>
  <c r="AJ62" i="2"/>
  <c r="AJ63" i="2"/>
  <c r="AJ64" i="2"/>
  <c r="AJ65" i="2"/>
  <c r="AM65" i="2" s="1"/>
  <c r="AJ66" i="2"/>
  <c r="AJ67" i="2"/>
  <c r="AJ68" i="2"/>
  <c r="AM68" i="2"/>
  <c r="AJ69" i="2"/>
  <c r="AJ70" i="2"/>
  <c r="AM70" i="2"/>
  <c r="AJ71" i="2"/>
  <c r="AJ72" i="2"/>
  <c r="AM72" i="2"/>
  <c r="AJ73" i="2"/>
  <c r="AJ74" i="2"/>
  <c r="AM74" i="2" s="1"/>
  <c r="AJ75" i="2"/>
  <c r="AM75" i="2" s="1"/>
  <c r="AJ76" i="2"/>
  <c r="AM76" i="2"/>
  <c r="AJ77" i="2"/>
  <c r="AM77" i="2"/>
  <c r="AJ78" i="2"/>
  <c r="AM78" i="2"/>
  <c r="AJ79" i="2"/>
  <c r="AM79" i="2"/>
  <c r="AJ80" i="2"/>
  <c r="AM80" i="2"/>
  <c r="AJ81" i="2"/>
  <c r="AM81" i="2"/>
  <c r="AJ82" i="2"/>
  <c r="AM82" i="2"/>
  <c r="AJ83" i="2"/>
  <c r="AM83" i="2"/>
  <c r="AJ84" i="2"/>
  <c r="AM84" i="2"/>
  <c r="AJ12" i="2"/>
  <c r="AM24" i="2" s="1"/>
  <c r="AI76" i="2"/>
  <c r="BA76" i="2" s="1"/>
  <c r="AI77" i="2"/>
  <c r="BA77" i="2" s="1"/>
  <c r="AI78" i="2"/>
  <c r="BA78" i="2" s="1"/>
  <c r="AI79" i="2"/>
  <c r="BA79" i="2" s="1"/>
  <c r="AI80" i="2"/>
  <c r="BA80" i="2" s="1"/>
  <c r="AI81" i="2"/>
  <c r="BA81" i="2" s="1"/>
  <c r="AI82" i="2"/>
  <c r="BA82" i="2" s="1"/>
  <c r="AI83" i="2"/>
  <c r="AI84" i="2"/>
  <c r="BA84" i="2" s="1"/>
  <c r="S25" i="2"/>
  <c r="S37" i="2"/>
  <c r="S26" i="2"/>
  <c r="U38" i="2" s="1"/>
  <c r="S38" i="2"/>
  <c r="S27" i="2"/>
  <c r="S39" i="2"/>
  <c r="S28" i="2"/>
  <c r="U40" i="2" s="1"/>
  <c r="S40" i="2"/>
  <c r="S29" i="2"/>
  <c r="S41" i="2"/>
  <c r="U53" i="2" s="1"/>
  <c r="S30" i="2"/>
  <c r="S42" i="2"/>
  <c r="S31" i="2"/>
  <c r="S43" i="2"/>
  <c r="S32" i="2"/>
  <c r="S44" i="2"/>
  <c r="S33" i="2"/>
  <c r="S45" i="2"/>
  <c r="S34" i="2"/>
  <c r="S46" i="2"/>
  <c r="S35" i="2"/>
  <c r="S47" i="2"/>
  <c r="S36" i="2"/>
  <c r="S48" i="2"/>
  <c r="S49" i="2"/>
  <c r="S50" i="2"/>
  <c r="U50" i="2" s="1"/>
  <c r="S51" i="2"/>
  <c r="U63" i="2" s="1"/>
  <c r="S52" i="2"/>
  <c r="U52" i="2" s="1"/>
  <c r="S53" i="2"/>
  <c r="S54" i="2"/>
  <c r="S55" i="2"/>
  <c r="S56" i="2"/>
  <c r="S57" i="2"/>
  <c r="S58" i="2"/>
  <c r="U58" i="2" s="1"/>
  <c r="S59" i="2"/>
  <c r="S60" i="2"/>
  <c r="S61" i="2"/>
  <c r="U61" i="2" s="1"/>
  <c r="S62" i="2"/>
  <c r="S63" i="2"/>
  <c r="U75" i="2"/>
  <c r="S64" i="2"/>
  <c r="U64" i="2" s="1"/>
  <c r="S65" i="2"/>
  <c r="U65" i="2" s="1"/>
  <c r="S66" i="2"/>
  <c r="S67" i="2"/>
  <c r="S68" i="2"/>
  <c r="U68" i="2" s="1"/>
  <c r="S69" i="2"/>
  <c r="S70" i="2"/>
  <c r="U70" i="2"/>
  <c r="S71" i="2"/>
  <c r="S72" i="2"/>
  <c r="U72" i="2" s="1"/>
  <c r="S73" i="2"/>
  <c r="S74" i="2"/>
  <c r="S75" i="2"/>
  <c r="S76" i="2"/>
  <c r="U76" i="2"/>
  <c r="S77" i="2"/>
  <c r="U77" i="2"/>
  <c r="S78" i="2"/>
  <c r="U78" i="2"/>
  <c r="S79" i="2"/>
  <c r="U79" i="2"/>
  <c r="S80" i="2"/>
  <c r="U80" i="2"/>
  <c r="S81" i="2"/>
  <c r="U81" i="2"/>
  <c r="S82" i="2"/>
  <c r="U82" i="2"/>
  <c r="S83" i="2"/>
  <c r="U83" i="2"/>
  <c r="S84" i="2"/>
  <c r="U84" i="2"/>
  <c r="S24" i="2"/>
  <c r="S23" i="2"/>
  <c r="U35" i="2" s="1"/>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24" i="2"/>
  <c r="O13" i="2"/>
  <c r="O14" i="2"/>
  <c r="O15" i="2"/>
  <c r="O16" i="2"/>
  <c r="O17" i="2"/>
  <c r="O18" i="2"/>
  <c r="O19" i="2"/>
  <c r="O20" i="2"/>
  <c r="O21" i="2"/>
  <c r="O22" i="2"/>
  <c r="O23" i="2"/>
  <c r="O24" i="2"/>
  <c r="Q24" i="2" s="1"/>
  <c r="O25" i="2"/>
  <c r="O26" i="2"/>
  <c r="O27" i="2"/>
  <c r="O28" i="2"/>
  <c r="O29" i="2"/>
  <c r="O30" i="2"/>
  <c r="O31" i="2"/>
  <c r="O32" i="2"/>
  <c r="O33" i="2"/>
  <c r="O34" i="2"/>
  <c r="O35" i="2"/>
  <c r="O36" i="2"/>
  <c r="O37" i="2"/>
  <c r="O38" i="2"/>
  <c r="O39" i="2"/>
  <c r="O40" i="2"/>
  <c r="Q40" i="2" s="1"/>
  <c r="O41" i="2"/>
  <c r="O42" i="2"/>
  <c r="O43" i="2"/>
  <c r="Q43" i="2" s="1"/>
  <c r="O44" i="2"/>
  <c r="O45" i="2"/>
  <c r="O46" i="2"/>
  <c r="O47" i="2"/>
  <c r="O48" i="2"/>
  <c r="O49" i="2"/>
  <c r="O50" i="2"/>
  <c r="O51" i="2"/>
  <c r="Q51" i="2" s="1"/>
  <c r="O52" i="2"/>
  <c r="Q52" i="2" s="1"/>
  <c r="O53" i="2"/>
  <c r="O54" i="2"/>
  <c r="O55" i="2"/>
  <c r="Q55" i="2" s="1"/>
  <c r="O56" i="2"/>
  <c r="O57" i="2"/>
  <c r="O58" i="2"/>
  <c r="O59" i="2"/>
  <c r="O60" i="2"/>
  <c r="O61" i="2"/>
  <c r="O62" i="2"/>
  <c r="O63" i="2"/>
  <c r="O64" i="2"/>
  <c r="O65" i="2"/>
  <c r="Q65" i="2" s="1"/>
  <c r="O66" i="2"/>
  <c r="P72" i="2" s="1"/>
  <c r="O67" i="2"/>
  <c r="O68" i="2"/>
  <c r="O69" i="2"/>
  <c r="O70" i="2"/>
  <c r="O71" i="2"/>
  <c r="O72" i="2"/>
  <c r="O73" i="2"/>
  <c r="O74" i="2"/>
  <c r="O75" i="2"/>
  <c r="O76" i="2"/>
  <c r="P76" i="2"/>
  <c r="R76" i="2"/>
  <c r="O77" i="2"/>
  <c r="P77" i="2"/>
  <c r="R77" i="2"/>
  <c r="O78" i="2"/>
  <c r="P78" i="2"/>
  <c r="R78" i="2"/>
  <c r="O79" i="2"/>
  <c r="P79" i="2"/>
  <c r="R79" i="2"/>
  <c r="O80" i="2"/>
  <c r="P80" i="2"/>
  <c r="R80" i="2"/>
  <c r="O81" i="2"/>
  <c r="P81" i="2"/>
  <c r="R81" i="2"/>
  <c r="O82" i="2"/>
  <c r="P82" i="2"/>
  <c r="R82" i="2"/>
  <c r="O83" i="2"/>
  <c r="P83" i="2"/>
  <c r="R83" i="2"/>
  <c r="O84" i="2"/>
  <c r="P84" i="2"/>
  <c r="R84" i="2"/>
  <c r="Q59" i="2"/>
  <c r="Q62" i="2"/>
  <c r="Q67" i="2"/>
  <c r="Q70" i="2"/>
  <c r="Q71" i="2"/>
  <c r="Q74" i="2"/>
  <c r="Q75" i="2"/>
  <c r="Q76" i="2"/>
  <c r="Q77" i="2"/>
  <c r="Q78" i="2"/>
  <c r="Q79" i="2"/>
  <c r="Q80" i="2"/>
  <c r="Q81" i="2"/>
  <c r="Q82" i="2"/>
  <c r="Q83" i="2"/>
  <c r="Q84" i="2"/>
  <c r="Y24" i="2"/>
  <c r="Z24" i="2" s="1"/>
  <c r="Y25" i="2"/>
  <c r="Y26" i="2"/>
  <c r="Y27" i="2"/>
  <c r="Y28" i="2"/>
  <c r="Z28" i="2" s="1"/>
  <c r="Y29" i="2"/>
  <c r="Y30" i="2"/>
  <c r="Y31" i="2"/>
  <c r="Y32" i="2"/>
  <c r="Z32" i="2" s="1"/>
  <c r="Y47" i="2"/>
  <c r="Y48" i="2"/>
  <c r="Y49" i="2"/>
  <c r="Z49" i="2" s="1"/>
  <c r="Y50" i="2"/>
  <c r="Y51" i="2"/>
  <c r="Y52" i="2"/>
  <c r="Z52" i="2" s="1"/>
  <c r="Y53" i="2"/>
  <c r="Y54" i="2"/>
  <c r="Y55" i="2"/>
  <c r="Y56" i="2"/>
  <c r="Y57" i="2"/>
  <c r="Z57" i="2" s="1"/>
  <c r="Y58" i="2"/>
  <c r="Y59" i="2"/>
  <c r="Y60" i="2"/>
  <c r="Z60" i="2" s="1"/>
  <c r="Y61" i="2"/>
  <c r="Y62" i="2"/>
  <c r="Y63" i="2"/>
  <c r="Y64" i="2"/>
  <c r="Z64" i="2" s="1"/>
  <c r="Y65" i="2"/>
  <c r="Z65" i="2" s="1"/>
  <c r="Y66" i="2"/>
  <c r="Y67" i="2"/>
  <c r="Y68" i="2"/>
  <c r="Y69" i="2"/>
  <c r="Y70" i="2"/>
  <c r="Z70" i="2" s="1"/>
  <c r="Y75" i="2"/>
  <c r="Y76" i="2"/>
  <c r="Z76" i="2"/>
  <c r="Y77" i="2"/>
  <c r="Z77" i="2"/>
  <c r="Y78" i="2"/>
  <c r="Z78" i="2"/>
  <c r="Y79" i="2"/>
  <c r="Z79" i="2"/>
  <c r="Y80" i="2"/>
  <c r="Z80" i="2"/>
  <c r="Y81" i="2"/>
  <c r="Z81" i="2"/>
  <c r="Y82" i="2"/>
  <c r="Z82" i="2"/>
  <c r="Y83" i="2"/>
  <c r="Z83" i="2"/>
  <c r="Y84" i="2"/>
  <c r="Z84" i="2"/>
  <c r="Y23" i="2"/>
  <c r="X13" i="2"/>
  <c r="X14" i="2"/>
  <c r="X15" i="2"/>
  <c r="X16" i="2"/>
  <c r="X17" i="2"/>
  <c r="X18" i="2"/>
  <c r="X19" i="2"/>
  <c r="X20" i="2"/>
  <c r="X21" i="2"/>
  <c r="X22" i="2"/>
  <c r="X23" i="2"/>
  <c r="X24" i="2"/>
  <c r="X25" i="2"/>
  <c r="X26" i="2"/>
  <c r="X27" i="2"/>
  <c r="X28" i="2"/>
  <c r="X29" i="2"/>
  <c r="X30" i="2"/>
  <c r="X31" i="2"/>
  <c r="X32" i="2"/>
  <c r="X47" i="2"/>
  <c r="X48" i="2"/>
  <c r="X49" i="2"/>
  <c r="X50" i="2"/>
  <c r="X51" i="2"/>
  <c r="X52" i="2"/>
  <c r="X53" i="2"/>
  <c r="X54" i="2"/>
  <c r="X55" i="2"/>
  <c r="X56" i="2"/>
  <c r="X57" i="2"/>
  <c r="X58" i="2"/>
  <c r="X59" i="2"/>
  <c r="X60" i="2"/>
  <c r="X61" i="2"/>
  <c r="X62" i="2"/>
  <c r="X63" i="2"/>
  <c r="X64" i="2"/>
  <c r="X65" i="2"/>
  <c r="X66" i="2"/>
  <c r="X67" i="2"/>
  <c r="X68" i="2"/>
  <c r="X69" i="2"/>
  <c r="X70" i="2"/>
  <c r="X75" i="2"/>
  <c r="X76" i="2"/>
  <c r="X77" i="2"/>
  <c r="X78" i="2"/>
  <c r="X79" i="2"/>
  <c r="X80" i="2"/>
  <c r="X81" i="2"/>
  <c r="X82" i="2"/>
  <c r="X83" i="2"/>
  <c r="X84"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23" i="2"/>
  <c r="V82" i="2"/>
  <c r="W82" i="2"/>
  <c r="AU82" i="2"/>
  <c r="AV82" i="2"/>
  <c r="AV71" i="2"/>
  <c r="AV72" i="2"/>
  <c r="AV73" i="2"/>
  <c r="AV74" i="2"/>
  <c r="AV75" i="2"/>
  <c r="AV76" i="2"/>
  <c r="AV77" i="2"/>
  <c r="AV78" i="2"/>
  <c r="AV79" i="2"/>
  <c r="AV80" i="2"/>
  <c r="AV81" i="2"/>
  <c r="BE82" i="2"/>
  <c r="V83" i="2"/>
  <c r="W83" i="2"/>
  <c r="AU83" i="2"/>
  <c r="AV83" i="2"/>
  <c r="BA83" i="2"/>
  <c r="BE83" i="2"/>
  <c r="V84" i="2"/>
  <c r="W84" i="2"/>
  <c r="AU84" i="2"/>
  <c r="AV84" i="2"/>
  <c r="AX31" i="2"/>
  <c r="V78" i="2"/>
  <c r="W78" i="2"/>
  <c r="AU78" i="2"/>
  <c r="AV67" i="2"/>
  <c r="AV68" i="2"/>
  <c r="AW79" i="2" s="1"/>
  <c r="BD79" i="2" s="1"/>
  <c r="AV69" i="2"/>
  <c r="AV70" i="2"/>
  <c r="V79" i="2"/>
  <c r="W79" i="2"/>
  <c r="AU79" i="2"/>
  <c r="BE79" i="2"/>
  <c r="V80" i="2"/>
  <c r="W80" i="2"/>
  <c r="AU80" i="2"/>
  <c r="V81" i="2"/>
  <c r="W81" i="2"/>
  <c r="AU81"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23" i="2"/>
  <c r="AV64" i="2"/>
  <c r="AV65" i="2"/>
  <c r="AV66" i="2"/>
  <c r="V76" i="2"/>
  <c r="W76" i="2"/>
  <c r="V77" i="2"/>
  <c r="W77" i="2"/>
  <c r="V75" i="2"/>
  <c r="W75" i="2"/>
  <c r="AV56" i="2"/>
  <c r="AV57" i="2"/>
  <c r="AV58" i="2"/>
  <c r="AV59" i="2"/>
  <c r="AV60" i="2"/>
  <c r="AV61" i="2"/>
  <c r="AV62" i="2"/>
  <c r="AV63" i="2"/>
  <c r="BF67" i="2"/>
  <c r="BE74" i="2"/>
  <c r="W67" i="2"/>
  <c r="W68" i="2"/>
  <c r="W69" i="2"/>
  <c r="W70" i="2"/>
  <c r="W71" i="2"/>
  <c r="W72" i="2"/>
  <c r="W73" i="2"/>
  <c r="W74" i="2"/>
  <c r="V67" i="2"/>
  <c r="V68" i="2"/>
  <c r="V69" i="2"/>
  <c r="V70" i="2"/>
  <c r="V71" i="2"/>
  <c r="V72" i="2"/>
  <c r="V73" i="2"/>
  <c r="V74"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BF25" i="2"/>
  <c r="BF32" i="2"/>
  <c r="BF35" i="2"/>
  <c r="BF49" i="2"/>
  <c r="BF50" i="2"/>
  <c r="BF52" i="2"/>
  <c r="BF58" i="2"/>
  <c r="BF64" i="2"/>
  <c r="BF65" i="2"/>
  <c r="BE65" i="2"/>
  <c r="AV52" i="2"/>
  <c r="AV53" i="2"/>
  <c r="AV54" i="2"/>
  <c r="AV55"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12" i="2"/>
  <c r="BE52" i="2"/>
  <c r="BE53" i="2"/>
  <c r="P68" i="2"/>
  <c r="AI33" i="2"/>
  <c r="BA33" i="2" s="1"/>
  <c r="U49" i="2"/>
  <c r="Q73" i="2"/>
  <c r="J32" i="16"/>
  <c r="AI70" i="2"/>
  <c r="BA70" i="2" s="1"/>
  <c r="AL23" i="2"/>
  <c r="AN35" i="2" s="1"/>
  <c r="P71" i="2"/>
  <c r="Q72" i="2"/>
  <c r="Q68" i="2"/>
  <c r="BF31" i="2"/>
  <c r="AI63" i="2"/>
  <c r="BA63" i="2" s="1"/>
  <c r="Z68" i="2"/>
  <c r="U73" i="2"/>
  <c r="AM71" i="2"/>
  <c r="AL74" i="2"/>
  <c r="AL58" i="2"/>
  <c r="AN70" i="2" s="1"/>
  <c r="AI71" i="2"/>
  <c r="BA71" i="2" s="1"/>
  <c r="AI72" i="2"/>
  <c r="BA72" i="2" s="1"/>
  <c r="AI75" i="2"/>
  <c r="BA75" i="2" s="1"/>
  <c r="AM53" i="2"/>
  <c r="U71" i="2"/>
  <c r="U59" i="2"/>
  <c r="AM69" i="2"/>
  <c r="AQ73" i="2"/>
  <c r="Z72" i="2"/>
  <c r="AN56" i="2" l="1"/>
  <c r="AM34" i="2"/>
  <c r="AT36" i="16"/>
  <c r="AL30" i="2"/>
  <c r="AQ44" i="2"/>
  <c r="AI23" i="2"/>
  <c r="BA23" i="2" s="1"/>
  <c r="AI24" i="2"/>
  <c r="BA24" i="2" s="1"/>
  <c r="AL26" i="2"/>
  <c r="AL24" i="2"/>
  <c r="AN36" i="2" s="1"/>
  <c r="AQ32" i="2"/>
  <c r="AQ30" i="2"/>
  <c r="AQ26" i="2"/>
  <c r="AM47" i="2"/>
  <c r="AM36" i="2"/>
  <c r="AM31" i="2"/>
  <c r="AM27" i="2"/>
  <c r="AL45" i="2"/>
  <c r="AN45" i="2" s="1"/>
  <c r="AQ39" i="2"/>
  <c r="AQ37" i="2"/>
  <c r="AQ35" i="2"/>
  <c r="AQ33" i="2"/>
  <c r="AL38" i="2"/>
  <c r="AL57" i="2"/>
  <c r="AL31" i="2"/>
  <c r="AN43" i="2" s="1"/>
  <c r="AM46" i="2"/>
  <c r="AN49" i="2"/>
  <c r="AL43" i="2"/>
  <c r="AM64" i="2"/>
  <c r="AM48" i="2"/>
  <c r="AM41" i="2"/>
  <c r="AI66" i="2"/>
  <c r="BA66" i="2" s="1"/>
  <c r="AI40" i="2"/>
  <c r="BA40" i="2" s="1"/>
  <c r="AQ36" i="2"/>
  <c r="AM67" i="2"/>
  <c r="AM60" i="2"/>
  <c r="AM57" i="2"/>
  <c r="AQ50" i="2"/>
  <c r="AQ48" i="2"/>
  <c r="AQ45" i="2"/>
  <c r="AQ42" i="2"/>
  <c r="AM54" i="2"/>
  <c r="AM50" i="2"/>
  <c r="AM55" i="2"/>
  <c r="AQ66" i="2"/>
  <c r="AQ62" i="2"/>
  <c r="AQ64" i="2"/>
  <c r="AI64" i="2"/>
  <c r="BA64" i="2" s="1"/>
  <c r="AM49" i="2"/>
  <c r="AN48" i="2"/>
  <c r="AQ46" i="2"/>
  <c r="AI56" i="2"/>
  <c r="BA56" i="2" s="1"/>
  <c r="AI51" i="2"/>
  <c r="BA51" i="2" s="1"/>
  <c r="BF38" i="2"/>
  <c r="AN50" i="2"/>
  <c r="AQ40" i="2"/>
  <c r="AI58" i="2"/>
  <c r="BA58" i="2" s="1"/>
  <c r="AQ57" i="2"/>
  <c r="AQ53" i="2"/>
  <c r="AX80" i="2"/>
  <c r="AX66" i="2"/>
  <c r="AI55" i="2"/>
  <c r="BA55" i="2" s="1"/>
  <c r="Z55" i="2"/>
  <c r="AM62" i="2"/>
  <c r="AX23" i="2"/>
  <c r="AX19" i="2"/>
  <c r="AX15" i="2"/>
  <c r="AX73" i="2"/>
  <c r="AX65" i="2"/>
  <c r="BF57" i="2"/>
  <c r="U66" i="2"/>
  <c r="AN60" i="2"/>
  <c r="AQ59" i="2"/>
  <c r="AX84" i="2"/>
  <c r="AX78" i="2"/>
  <c r="AW76" i="2"/>
  <c r="BD76" i="2" s="1"/>
  <c r="U43" i="2"/>
  <c r="AQ60" i="2"/>
  <c r="AI59" i="2"/>
  <c r="BA59" i="2" s="1"/>
  <c r="Q48" i="2"/>
  <c r="J38" i="16"/>
  <c r="P64" i="2"/>
  <c r="Q61" i="2"/>
  <c r="Q60" i="2"/>
  <c r="P38" i="2"/>
  <c r="P41" i="2"/>
  <c r="Q39" i="2"/>
  <c r="Q49" i="2"/>
  <c r="Q45" i="2"/>
  <c r="Q57" i="2"/>
  <c r="Q56" i="2"/>
  <c r="Q53" i="2"/>
  <c r="Z62" i="2"/>
  <c r="Z54" i="2"/>
  <c r="U57" i="2"/>
  <c r="U45" i="2"/>
  <c r="Z63" i="2"/>
  <c r="Z30" i="2"/>
  <c r="U56" i="2"/>
  <c r="U37" i="2"/>
  <c r="BE62" i="2"/>
  <c r="U47" i="2"/>
  <c r="U41" i="2"/>
  <c r="Z66" i="2"/>
  <c r="Z59" i="2"/>
  <c r="P51" i="2"/>
  <c r="Q34" i="2"/>
  <c r="Q36" i="2"/>
  <c r="U46" i="2"/>
  <c r="U44" i="2"/>
  <c r="U42" i="2"/>
  <c r="AQ58" i="2"/>
  <c r="AN58" i="2"/>
  <c r="AN62" i="2"/>
  <c r="AM51" i="2"/>
  <c r="AM52" i="2"/>
  <c r="AQ61" i="2"/>
  <c r="AQ52" i="2"/>
  <c r="AX53" i="2"/>
  <c r="AX60" i="2"/>
  <c r="AX56" i="2"/>
  <c r="Z53" i="2"/>
  <c r="U60" i="2"/>
  <c r="Z56" i="2"/>
  <c r="P61" i="2"/>
  <c r="P58" i="2"/>
  <c r="P55" i="2"/>
  <c r="N60" i="2"/>
  <c r="AZ60" i="2" s="1"/>
  <c r="Z61" i="2"/>
  <c r="P33" i="2"/>
  <c r="Q31" i="2"/>
  <c r="AX14" i="2"/>
  <c r="AX30" i="2"/>
  <c r="N39" i="2"/>
  <c r="AZ39" i="2" s="1"/>
  <c r="J12" i="16"/>
  <c r="N52" i="2"/>
  <c r="AZ52" i="2" s="1"/>
  <c r="N76" i="2"/>
  <c r="AZ76" i="2" s="1"/>
  <c r="BF29" i="2"/>
  <c r="Z26" i="2"/>
  <c r="P25" i="2"/>
  <c r="AX74" i="2"/>
  <c r="N64" i="2"/>
  <c r="AZ64" i="2" s="1"/>
  <c r="N63" i="2"/>
  <c r="AZ63" i="2" s="1"/>
  <c r="AX33" i="2"/>
  <c r="N70" i="2"/>
  <c r="AZ70" i="2" s="1"/>
  <c r="AX57" i="2"/>
  <c r="AX55" i="2"/>
  <c r="AX43" i="2"/>
  <c r="N72" i="2"/>
  <c r="AZ72" i="2" s="1"/>
  <c r="AW66" i="2"/>
  <c r="BD66" i="2" s="1"/>
  <c r="AW71" i="2"/>
  <c r="BD71" i="2" s="1"/>
  <c r="AM25" i="2"/>
  <c r="AQ28" i="2"/>
  <c r="AX82" i="2"/>
  <c r="AX63" i="2"/>
  <c r="AX61" i="2"/>
  <c r="AX69" i="2"/>
  <c r="N75" i="2"/>
  <c r="AZ75" i="2" s="1"/>
  <c r="AQ23" i="2"/>
  <c r="AQ27" i="2"/>
  <c r="AQ24" i="2"/>
  <c r="AX27" i="2"/>
  <c r="BF27" i="2"/>
  <c r="AW26" i="2"/>
  <c r="BD26" i="2" s="1"/>
  <c r="AX18" i="2"/>
  <c r="AW47" i="2"/>
  <c r="BD47" i="2" s="1"/>
  <c r="BF43" i="2"/>
  <c r="AX49" i="2"/>
  <c r="AX25" i="2"/>
  <c r="AX13" i="2"/>
  <c r="AX70" i="2"/>
  <c r="AX68" i="2"/>
  <c r="AW28" i="2"/>
  <c r="BD28" i="2" s="1"/>
  <c r="AW24" i="2"/>
  <c r="BD24" i="2" s="1"/>
  <c r="AX22" i="2"/>
  <c r="Z25" i="2"/>
  <c r="AW40" i="2"/>
  <c r="BD40" i="2" s="1"/>
  <c r="N80" i="2"/>
  <c r="AZ80" i="2" s="1"/>
  <c r="N50" i="2"/>
  <c r="AZ50" i="2" s="1"/>
  <c r="AW61" i="2"/>
  <c r="BD61" i="2" s="1"/>
  <c r="N78" i="2"/>
  <c r="AZ78" i="2" s="1"/>
  <c r="N28" i="2"/>
  <c r="AZ28" i="2" s="1"/>
  <c r="N73" i="2"/>
  <c r="AZ73" i="2" s="1"/>
  <c r="N68" i="2"/>
  <c r="AZ68" i="2" s="1"/>
  <c r="N53" i="2"/>
  <c r="AZ53" i="2" s="1"/>
  <c r="N54" i="2"/>
  <c r="AZ54" i="2" s="1"/>
  <c r="N79" i="2"/>
  <c r="AZ79" i="2" s="1"/>
  <c r="N74" i="2"/>
  <c r="AZ74" i="2" s="1"/>
  <c r="BE61" i="2"/>
  <c r="H6" i="2" s="1"/>
  <c r="AW32" i="2"/>
  <c r="BD32" i="2" s="1"/>
  <c r="AW64" i="2"/>
  <c r="BD64" i="2" s="1"/>
  <c r="AX12" i="2"/>
  <c r="AX36" i="2"/>
  <c r="N71" i="2"/>
  <c r="AZ71" i="2" s="1"/>
  <c r="N67" i="2"/>
  <c r="AZ67" i="2" s="1"/>
  <c r="AX64" i="2"/>
  <c r="N81" i="2"/>
  <c r="AZ81" i="2" s="1"/>
  <c r="N69" i="2"/>
  <c r="AZ69" i="2" s="1"/>
  <c r="N66" i="2"/>
  <c r="AZ66" i="2" s="1"/>
  <c r="AW72" i="2"/>
  <c r="BD72" i="2" s="1"/>
  <c r="N65" i="2"/>
  <c r="AZ65" i="2" s="1"/>
  <c r="Q26" i="2"/>
  <c r="P32" i="2"/>
  <c r="P26" i="2"/>
  <c r="N32" i="2"/>
  <c r="AZ32" i="2" s="1"/>
  <c r="Z27" i="2"/>
  <c r="Q28" i="2"/>
  <c r="P23" i="2"/>
  <c r="BE25" i="2"/>
  <c r="N31" i="2"/>
  <c r="AZ31" i="2" s="1"/>
  <c r="P27" i="2"/>
  <c r="P30" i="2"/>
  <c r="Q33" i="2"/>
  <c r="P28" i="2"/>
  <c r="P29" i="2"/>
  <c r="Z31" i="2"/>
  <c r="N23" i="2"/>
  <c r="AZ23" i="2" s="1"/>
  <c r="AL55" i="2"/>
  <c r="BF55" i="2"/>
  <c r="AQ55" i="2"/>
  <c r="AT34" i="16"/>
  <c r="AT14" i="16"/>
  <c r="Q35" i="2"/>
  <c r="P46" i="2"/>
  <c r="P35" i="2"/>
  <c r="Q47" i="2"/>
  <c r="P45" i="2"/>
  <c r="P37" i="2"/>
  <c r="P44" i="2"/>
  <c r="U39" i="2"/>
  <c r="U51" i="2"/>
  <c r="AM44" i="2"/>
  <c r="AM56" i="2"/>
  <c r="AW57" i="2"/>
  <c r="BD57" i="2" s="1"/>
  <c r="AW56" i="2"/>
  <c r="BD56" i="2" s="1"/>
  <c r="N40" i="2"/>
  <c r="AZ40" i="2" s="1"/>
  <c r="AX29" i="2"/>
  <c r="N36" i="2"/>
  <c r="AZ36" i="2" s="1"/>
  <c r="N38" i="2"/>
  <c r="AZ38" i="2" s="1"/>
  <c r="N34" i="2"/>
  <c r="AZ34" i="2" s="1"/>
  <c r="AX38" i="2"/>
  <c r="AI49" i="2"/>
  <c r="BA49" i="2" s="1"/>
  <c r="AI46" i="2"/>
  <c r="BA46" i="2" s="1"/>
  <c r="AI47" i="2"/>
  <c r="BA47" i="2" s="1"/>
  <c r="AI44" i="2"/>
  <c r="BA44" i="2" s="1"/>
  <c r="Z58" i="2"/>
  <c r="BE58" i="2"/>
  <c r="Z69" i="2"/>
  <c r="BE69" i="2"/>
  <c r="N33" i="2"/>
  <c r="AZ33" i="2" s="1"/>
  <c r="AM26" i="2"/>
  <c r="AM38" i="2"/>
  <c r="AI39" i="2"/>
  <c r="BA39" i="2" s="1"/>
  <c r="AX28" i="2"/>
  <c r="AI36" i="2"/>
  <c r="BA36" i="2" s="1"/>
  <c r="AI38" i="2"/>
  <c r="BA38" i="2" s="1"/>
  <c r="AI35" i="2"/>
  <c r="BA35" i="2" s="1"/>
  <c r="AI34" i="2"/>
  <c r="BA34" i="2" s="1"/>
  <c r="AI27" i="2"/>
  <c r="BA27" i="2" s="1"/>
  <c r="AI26" i="2"/>
  <c r="BA26" i="2" s="1"/>
  <c r="AI30" i="2"/>
  <c r="BA30" i="2" s="1"/>
  <c r="AI32" i="2"/>
  <c r="BA32" i="2" s="1"/>
  <c r="AI48" i="2"/>
  <c r="BA48" i="2" s="1"/>
  <c r="AW54" i="2"/>
  <c r="BD54" i="2" s="1"/>
  <c r="AW48" i="2"/>
  <c r="BD48" i="2" s="1"/>
  <c r="AW46" i="2"/>
  <c r="BD46" i="2" s="1"/>
  <c r="AW43" i="2"/>
  <c r="BD43" i="2" s="1"/>
  <c r="AW44" i="2"/>
  <c r="BD44" i="2" s="1"/>
  <c r="AW41" i="2"/>
  <c r="BD41" i="2" s="1"/>
  <c r="AW42" i="2"/>
  <c r="BD42" i="2" s="1"/>
  <c r="AW34" i="2"/>
  <c r="BD34" i="2" s="1"/>
  <c r="AW33" i="2"/>
  <c r="BD33" i="2" s="1"/>
  <c r="AW39" i="2"/>
  <c r="BD39" i="2" s="1"/>
  <c r="AW62" i="2"/>
  <c r="BD62" i="2" s="1"/>
  <c r="AW63" i="2"/>
  <c r="BD63" i="2" s="1"/>
  <c r="AW68" i="2"/>
  <c r="BD68" i="2" s="1"/>
  <c r="AW75" i="2"/>
  <c r="BD75" i="2" s="1"/>
  <c r="AW74" i="2"/>
  <c r="BD74" i="2" s="1"/>
  <c r="AW53" i="2"/>
  <c r="BD53" i="2" s="1"/>
  <c r="AW52" i="2"/>
  <c r="BD52" i="2" s="1"/>
  <c r="AW45" i="2"/>
  <c r="BD45" i="2" s="1"/>
  <c r="AW30" i="2"/>
  <c r="BD30" i="2" s="1"/>
  <c r="AW27" i="2"/>
  <c r="BD27" i="2" s="1"/>
  <c r="AW84" i="2"/>
  <c r="BD84" i="2" s="1"/>
  <c r="AW83" i="2"/>
  <c r="BD83" i="2" s="1"/>
  <c r="AW78" i="2"/>
  <c r="BD78" i="2" s="1"/>
  <c r="AW80" i="2"/>
  <c r="BD80" i="2" s="1"/>
  <c r="Z29" i="2"/>
  <c r="Q58" i="2"/>
  <c r="P54" i="2"/>
  <c r="Q46" i="2"/>
  <c r="P56" i="2"/>
  <c r="R68" i="2" s="1"/>
  <c r="P57" i="2"/>
  <c r="Q54" i="2"/>
  <c r="P50" i="2"/>
  <c r="P53" i="2"/>
  <c r="Q50" i="2"/>
  <c r="Q38" i="2"/>
  <c r="P49" i="2"/>
  <c r="AN73" i="2"/>
  <c r="AX40" i="2"/>
  <c r="N44" i="2"/>
  <c r="AZ44" i="2" s="1"/>
  <c r="N51" i="2"/>
  <c r="AZ51" i="2" s="1"/>
  <c r="N49" i="2"/>
  <c r="AZ49" i="2" s="1"/>
  <c r="N45" i="2"/>
  <c r="AZ45" i="2" s="1"/>
  <c r="AM61" i="2"/>
  <c r="N42" i="2"/>
  <c r="AZ42" i="2" s="1"/>
  <c r="AN39" i="2"/>
  <c r="P52" i="2"/>
  <c r="P73" i="2"/>
  <c r="R73" i="2" s="1"/>
  <c r="AW55" i="2"/>
  <c r="BD55" i="2" s="1"/>
  <c r="AW37" i="2"/>
  <c r="BD37" i="2" s="1"/>
  <c r="AW29" i="2"/>
  <c r="BD29" i="2" s="1"/>
  <c r="AW69" i="2"/>
  <c r="BD69" i="2" s="1"/>
  <c r="AW70" i="2"/>
  <c r="BD70" i="2" s="1"/>
  <c r="AW77" i="2"/>
  <c r="BD77" i="2" s="1"/>
  <c r="Z23" i="2"/>
  <c r="P60" i="2"/>
  <c r="R72" i="2" s="1"/>
  <c r="Q64" i="2"/>
  <c r="P59" i="2"/>
  <c r="R71" i="2" s="1"/>
  <c r="P63" i="2"/>
  <c r="R75" i="2" s="1"/>
  <c r="U67" i="2"/>
  <c r="U55" i="2"/>
  <c r="AL40" i="2"/>
  <c r="AQ54" i="2"/>
  <c r="AL54" i="2"/>
  <c r="AN66" i="2" s="1"/>
  <c r="AN46" i="2"/>
  <c r="N61" i="2"/>
  <c r="AZ61" i="2" s="1"/>
  <c r="N62" i="2"/>
  <c r="AZ62" i="2" s="1"/>
  <c r="AX51" i="2"/>
  <c r="AI45" i="2"/>
  <c r="BA45" i="2" s="1"/>
  <c r="AX34" i="2"/>
  <c r="AI53" i="2"/>
  <c r="BA53" i="2" s="1"/>
  <c r="AI54" i="2"/>
  <c r="BA54" i="2" s="1"/>
  <c r="AI50" i="2"/>
  <c r="BA50" i="2" s="1"/>
  <c r="AX41" i="2"/>
  <c r="AI52" i="2"/>
  <c r="BA52" i="2" s="1"/>
  <c r="AW49" i="2"/>
  <c r="BD49" i="2" s="1"/>
  <c r="AW23" i="2"/>
  <c r="BD23" i="2" s="1"/>
  <c r="AW25" i="2"/>
  <c r="BD25" i="2" s="1"/>
  <c r="P48" i="2"/>
  <c r="AW50" i="2"/>
  <c r="BD50" i="2" s="1"/>
  <c r="AW60" i="2"/>
  <c r="BD60" i="2" s="1"/>
  <c r="AW58" i="2"/>
  <c r="BD58" i="2" s="1"/>
  <c r="AW59" i="2"/>
  <c r="BD59" i="2" s="1"/>
  <c r="AW51" i="2"/>
  <c r="BD51" i="2" s="1"/>
  <c r="AW36" i="2"/>
  <c r="BD36" i="2" s="1"/>
  <c r="AW31" i="2"/>
  <c r="BD31" i="2" s="1"/>
  <c r="Q32" i="2"/>
  <c r="Q44" i="2"/>
  <c r="P43" i="2"/>
  <c r="P42" i="2"/>
  <c r="P39" i="2"/>
  <c r="Q29" i="2"/>
  <c r="Q41" i="2"/>
  <c r="P34" i="2"/>
  <c r="P40" i="2"/>
  <c r="P36" i="2"/>
  <c r="R48" i="2" s="1"/>
  <c r="P24" i="2"/>
  <c r="Q27" i="2"/>
  <c r="AN69" i="2"/>
  <c r="AI42" i="2"/>
  <c r="BA42" i="2" s="1"/>
  <c r="AI41" i="2"/>
  <c r="BA41" i="2" s="1"/>
  <c r="N48" i="2"/>
  <c r="AZ48" i="2" s="1"/>
  <c r="N37" i="2"/>
  <c r="AZ37" i="2" s="1"/>
  <c r="N27" i="2"/>
  <c r="AZ27" i="2" s="1"/>
  <c r="N29" i="2"/>
  <c r="AZ29" i="2" s="1"/>
  <c r="N30" i="2"/>
  <c r="AZ30" i="2" s="1"/>
  <c r="AX26" i="2"/>
  <c r="AX76" i="2"/>
  <c r="N77" i="2"/>
  <c r="AZ77" i="2" s="1"/>
  <c r="N84" i="2"/>
  <c r="AZ84" i="2" s="1"/>
  <c r="AX52" i="2"/>
  <c r="AI62" i="2"/>
  <c r="BA62" i="2" s="1"/>
  <c r="AX50" i="2"/>
  <c r="AI61" i="2"/>
  <c r="BA61" i="2" s="1"/>
  <c r="AI57" i="2"/>
  <c r="BA57" i="2" s="1"/>
  <c r="AX45" i="2"/>
  <c r="N55" i="2"/>
  <c r="AZ55" i="2" s="1"/>
  <c r="N56" i="2"/>
  <c r="AZ56" i="2" s="1"/>
  <c r="AI73" i="2"/>
  <c r="BA73" i="2" s="1"/>
  <c r="AX62" i="2"/>
  <c r="AI68" i="2"/>
  <c r="BA68" i="2" s="1"/>
  <c r="AI67" i="2"/>
  <c r="BA67" i="2" s="1"/>
  <c r="Z50" i="2"/>
  <c r="BE50" i="2"/>
  <c r="AW35" i="2"/>
  <c r="BD35" i="2" s="1"/>
  <c r="Z51" i="2"/>
  <c r="Z47" i="2"/>
  <c r="P31" i="2"/>
  <c r="U48" i="2"/>
  <c r="AM66" i="2"/>
  <c r="AN59" i="2"/>
  <c r="AL28" i="2"/>
  <c r="BF28" i="2"/>
  <c r="AN38" i="2"/>
  <c r="J18" i="16"/>
  <c r="AW5" i="16"/>
  <c r="AI31" i="2"/>
  <c r="BA31" i="2" s="1"/>
  <c r="AI25" i="2"/>
  <c r="BA25" i="2" s="1"/>
  <c r="N43" i="2"/>
  <c r="AZ43" i="2" s="1"/>
  <c r="AX75" i="2"/>
  <c r="N83" i="2"/>
  <c r="AZ83" i="2" s="1"/>
  <c r="BF75" i="2"/>
  <c r="AL75" i="2"/>
  <c r="AN75" i="2" s="1"/>
  <c r="AI28" i="2"/>
  <c r="BA28" i="2" s="1"/>
  <c r="Z48" i="2"/>
  <c r="AW67" i="2"/>
  <c r="BD67" i="2" s="1"/>
  <c r="N26" i="2"/>
  <c r="AZ26" i="2" s="1"/>
  <c r="P65" i="2"/>
  <c r="P75" i="2"/>
  <c r="AX16" i="2"/>
  <c r="AX20" i="2"/>
  <c r="AX32" i="2"/>
  <c r="AM39" i="2"/>
  <c r="N82" i="2"/>
  <c r="AZ82" i="2" s="1"/>
  <c r="AW38" i="2"/>
  <c r="BD38" i="2" s="1"/>
  <c r="AW65" i="2"/>
  <c r="BD65" i="2" s="1"/>
  <c r="BF70" i="2"/>
  <c r="AW73" i="2"/>
  <c r="BD73" i="2" s="1"/>
  <c r="AW82" i="2"/>
  <c r="BD82" i="2" s="1"/>
  <c r="AW81" i="2"/>
  <c r="BD81" i="2" s="1"/>
  <c r="P69" i="2"/>
  <c r="P66" i="2"/>
  <c r="Q69" i="2"/>
  <c r="P67" i="2"/>
  <c r="R67" i="2" s="1"/>
  <c r="Q42" i="2"/>
  <c r="U69" i="2"/>
  <c r="AM63" i="2"/>
  <c r="AN68" i="2"/>
  <c r="AN37" i="2"/>
  <c r="AL51" i="2"/>
  <c r="AN63" i="2" s="1"/>
  <c r="AN61" i="2"/>
  <c r="AL41" i="2"/>
  <c r="AQ38" i="2"/>
  <c r="AQ31" i="2"/>
  <c r="N59" i="2"/>
  <c r="AZ59" i="2" s="1"/>
  <c r="N58" i="2"/>
  <c r="AZ58" i="2" s="1"/>
  <c r="N35" i="2"/>
  <c r="AZ35" i="2" s="1"/>
  <c r="AX24" i="2"/>
  <c r="AX83" i="2"/>
  <c r="AX58" i="2"/>
  <c r="AI69" i="2"/>
  <c r="BA69" i="2" s="1"/>
  <c r="N57" i="2"/>
  <c r="AZ57" i="2" s="1"/>
  <c r="AX37" i="2"/>
  <c r="N46" i="2"/>
  <c r="AZ46" i="2" s="1"/>
  <c r="N47" i="2"/>
  <c r="AZ47" i="2" s="1"/>
  <c r="AX71" i="2"/>
  <c r="P74" i="2"/>
  <c r="P62" i="2"/>
  <c r="R74" i="2" s="1"/>
  <c r="Q63" i="2"/>
  <c r="P47" i="2"/>
  <c r="Q37" i="2"/>
  <c r="Q25" i="2"/>
  <c r="Q30" i="2"/>
  <c r="U74" i="2"/>
  <c r="U54" i="2"/>
  <c r="AM59" i="2"/>
  <c r="AN72" i="2"/>
  <c r="AL65" i="2"/>
  <c r="AL53" i="2"/>
  <c r="AQ41" i="2"/>
  <c r="AI37" i="2"/>
  <c r="BA37" i="2" s="1"/>
  <c r="N41" i="2"/>
  <c r="AZ41" i="2" s="1"/>
  <c r="N25" i="2"/>
  <c r="AZ25" i="2" s="1"/>
  <c r="N24" i="2"/>
  <c r="AZ24" i="2" s="1"/>
  <c r="AX79" i="2"/>
  <c r="P70" i="2"/>
  <c r="R70" i="2" s="1"/>
  <c r="Q66" i="2"/>
  <c r="U36" i="2"/>
  <c r="U62" i="2"/>
  <c r="AQ75" i="2"/>
  <c r="AQ71" i="2"/>
  <c r="AL68" i="2"/>
  <c r="AQ56" i="2"/>
  <c r="AL52" i="2"/>
  <c r="AN64" i="2" s="1"/>
  <c r="AQ51" i="2"/>
  <c r="AQ47" i="2"/>
  <c r="AL42" i="2"/>
  <c r="AL32" i="2"/>
  <c r="AN44" i="2" s="1"/>
  <c r="AI29" i="2"/>
  <c r="BA29" i="2" s="1"/>
  <c r="AX54" i="2"/>
  <c r="R50" i="2" l="1"/>
  <c r="H5" i="2"/>
  <c r="AT16" i="16"/>
  <c r="AN57" i="2"/>
  <c r="AN40" i="2"/>
  <c r="AN65" i="2"/>
  <c r="R61" i="2"/>
  <c r="R64" i="2"/>
  <c r="R38" i="2"/>
  <c r="R45" i="2"/>
  <c r="R46" i="2"/>
  <c r="R51" i="2"/>
  <c r="R60" i="2"/>
  <c r="R43" i="2"/>
  <c r="R41" i="2"/>
  <c r="R59" i="2"/>
  <c r="R37" i="2"/>
  <c r="R55" i="2"/>
  <c r="R58" i="2"/>
  <c r="R57" i="2"/>
  <c r="R39" i="2"/>
  <c r="BF34" i="16"/>
  <c r="BF14" i="16"/>
  <c r="C8" i="16"/>
  <c r="B48" i="2"/>
  <c r="H7" i="2"/>
  <c r="AY83" i="2"/>
  <c r="BB83" i="2" s="1"/>
  <c r="BC83" i="2" s="1"/>
  <c r="AY47" i="2"/>
  <c r="BB47" i="2" s="1"/>
  <c r="BC47" i="2" s="1"/>
  <c r="AY84" i="2"/>
  <c r="BB84" i="2" s="1"/>
  <c r="BC84" i="2" s="1"/>
  <c r="AY44" i="2"/>
  <c r="BB44" i="2" s="1"/>
  <c r="BC44" i="2" s="1"/>
  <c r="AY80" i="2"/>
  <c r="BB80" i="2" s="1"/>
  <c r="BC80" i="2" s="1"/>
  <c r="AY54" i="2"/>
  <c r="BB54" i="2" s="1"/>
  <c r="BC54" i="2" s="1"/>
  <c r="AY35" i="2"/>
  <c r="BB35" i="2" s="1"/>
  <c r="BC35" i="2" s="1"/>
  <c r="AY55" i="2"/>
  <c r="BB55" i="2" s="1"/>
  <c r="BC55" i="2" s="1"/>
  <c r="AN54" i="2"/>
  <c r="AN42" i="2"/>
  <c r="AY69" i="2"/>
  <c r="BB69" i="2" s="1"/>
  <c r="BC69" i="2" s="1"/>
  <c r="AY68" i="2"/>
  <c r="BB68" i="2" s="1"/>
  <c r="BC68" i="2" s="1"/>
  <c r="AY67" i="2"/>
  <c r="BB67" i="2" s="1"/>
  <c r="BC67" i="2" s="1"/>
  <c r="AY66" i="2"/>
  <c r="BB66" i="2" s="1"/>
  <c r="BC66" i="2" s="1"/>
  <c r="AN53" i="2"/>
  <c r="AY27" i="2"/>
  <c r="BB27" i="2" s="1"/>
  <c r="BC27" i="2" s="1"/>
  <c r="AY24" i="2"/>
  <c r="BB24" i="2" s="1"/>
  <c r="BC24" i="2" s="1"/>
  <c r="AY63" i="2"/>
  <c r="BB63" i="2" s="1"/>
  <c r="BC63" i="2" s="1"/>
  <c r="AY36" i="2"/>
  <c r="BB36" i="2" s="1"/>
  <c r="BC36" i="2" s="1"/>
  <c r="AY37" i="2"/>
  <c r="BB37" i="2" s="1"/>
  <c r="BC37" i="2" s="1"/>
  <c r="AY33" i="2"/>
  <c r="BB33" i="2" s="1"/>
  <c r="BC33" i="2" s="1"/>
  <c r="R66" i="2"/>
  <c r="AY32" i="2"/>
  <c r="BB32" i="2" s="1"/>
  <c r="BC32" i="2" s="1"/>
  <c r="AY74" i="2"/>
  <c r="BB74" i="2" s="1"/>
  <c r="BC74" i="2" s="1"/>
  <c r="R56" i="2"/>
  <c r="R44" i="2"/>
  <c r="R47" i="2"/>
  <c r="R35" i="2"/>
  <c r="AY65" i="2"/>
  <c r="BB65" i="2" s="1"/>
  <c r="BC65" i="2" s="1"/>
  <c r="AY48" i="2"/>
  <c r="BB48" i="2" s="1"/>
  <c r="BC48" i="2" s="1"/>
  <c r="AY46" i="2"/>
  <c r="BB46" i="2" s="1"/>
  <c r="BC46" i="2" s="1"/>
  <c r="AY43" i="2"/>
  <c r="BB43" i="2" s="1"/>
  <c r="BC43" i="2" s="1"/>
  <c r="AY41" i="2"/>
  <c r="BB41" i="2" s="1"/>
  <c r="BC41" i="2" s="1"/>
  <c r="R40" i="2"/>
  <c r="R52" i="2"/>
  <c r="AY76" i="2"/>
  <c r="BB76" i="2" s="1"/>
  <c r="BC76" i="2" s="1"/>
  <c r="AY64" i="2"/>
  <c r="BB64" i="2" s="1"/>
  <c r="BC64" i="2" s="1"/>
  <c r="AY62" i="2"/>
  <c r="BB62" i="2" s="1"/>
  <c r="BC62" i="2" s="1"/>
  <c r="AY26" i="2"/>
  <c r="BB26" i="2" s="1"/>
  <c r="BC26" i="2" s="1"/>
  <c r="R69" i="2"/>
  <c r="AY49" i="2"/>
  <c r="BB49" i="2" s="1"/>
  <c r="BC49" i="2" s="1"/>
  <c r="AY40" i="2"/>
  <c r="BB40" i="2" s="1"/>
  <c r="BC40" i="2" s="1"/>
  <c r="R63" i="2"/>
  <c r="R49" i="2"/>
  <c r="AY82" i="2"/>
  <c r="BB82" i="2" s="1"/>
  <c r="BC82" i="2" s="1"/>
  <c r="AY81" i="2"/>
  <c r="BB81" i="2" s="1"/>
  <c r="BC81" i="2" s="1"/>
  <c r="AY78" i="2"/>
  <c r="BB78" i="2" s="1"/>
  <c r="BC78" i="2" s="1"/>
  <c r="AY61" i="2"/>
  <c r="BB61" i="2" s="1"/>
  <c r="BC61" i="2" s="1"/>
  <c r="AY57" i="2"/>
  <c r="BB57" i="2" s="1"/>
  <c r="BC57" i="2" s="1"/>
  <c r="AY59" i="2"/>
  <c r="BB59" i="2" s="1"/>
  <c r="BC59" i="2" s="1"/>
  <c r="AY60" i="2"/>
  <c r="BB60" i="2" s="1"/>
  <c r="BC60" i="2" s="1"/>
  <c r="AY58" i="2"/>
  <c r="BB58" i="2" s="1"/>
  <c r="BC58" i="2" s="1"/>
  <c r="R54" i="2"/>
  <c r="R42" i="2"/>
  <c r="AY30" i="2"/>
  <c r="BB30" i="2" s="1"/>
  <c r="BC30" i="2" s="1"/>
  <c r="AY52" i="2"/>
  <c r="BB52" i="2" s="1"/>
  <c r="BC52" i="2" s="1"/>
  <c r="AY45" i="2"/>
  <c r="BB45" i="2" s="1"/>
  <c r="BC45" i="2" s="1"/>
  <c r="AY51" i="2"/>
  <c r="BB51" i="2" s="1"/>
  <c r="BC51" i="2" s="1"/>
  <c r="AY50" i="2"/>
  <c r="BB50" i="2" s="1"/>
  <c r="BC50" i="2" s="1"/>
  <c r="AN51" i="2"/>
  <c r="R65" i="2"/>
  <c r="AY79" i="2"/>
  <c r="BB79" i="2" s="1"/>
  <c r="BC79" i="2" s="1"/>
  <c r="AN67" i="2"/>
  <c r="AN55" i="2"/>
  <c r="AY29" i="2"/>
  <c r="BB29" i="2" s="1"/>
  <c r="BC29" i="2" s="1"/>
  <c r="AY31" i="2"/>
  <c r="BB31" i="2" s="1"/>
  <c r="BC31" i="2" s="1"/>
  <c r="AY28" i="2"/>
  <c r="BB28" i="2" s="1"/>
  <c r="BC28" i="2" s="1"/>
  <c r="AY73" i="2"/>
  <c r="BB73" i="2" s="1"/>
  <c r="BC73" i="2" s="1"/>
  <c r="AY72" i="2"/>
  <c r="BB72" i="2" s="1"/>
  <c r="BC72" i="2" s="1"/>
  <c r="AY70" i="2"/>
  <c r="BB70" i="2" s="1"/>
  <c r="BC70" i="2" s="1"/>
  <c r="AY56" i="2"/>
  <c r="BB56" i="2" s="1"/>
  <c r="BC56" i="2" s="1"/>
  <c r="AY53" i="2"/>
  <c r="BB53" i="2" s="1"/>
  <c r="BC53" i="2" s="1"/>
  <c r="R36" i="2"/>
  <c r="AN52" i="2"/>
  <c r="AY42" i="2"/>
  <c r="BB42" i="2" s="1"/>
  <c r="BC42" i="2" s="1"/>
  <c r="AY34" i="2"/>
  <c r="BB34" i="2" s="1"/>
  <c r="BC34" i="2" s="1"/>
  <c r="AY23" i="2"/>
  <c r="BB23" i="2" s="1"/>
  <c r="BC23" i="2" s="1"/>
  <c r="R62" i="2"/>
  <c r="AY75" i="2"/>
  <c r="BB75" i="2" s="1"/>
  <c r="AY39" i="2"/>
  <c r="BB39" i="2" s="1"/>
  <c r="BC39" i="2" s="1"/>
  <c r="AY38" i="2"/>
  <c r="BB38" i="2" s="1"/>
  <c r="BC38" i="2" s="1"/>
  <c r="AY25" i="2"/>
  <c r="BB25" i="2" s="1"/>
  <c r="BC25" i="2" s="1"/>
  <c r="AY71" i="2"/>
  <c r="BB71" i="2" s="1"/>
  <c r="BC71" i="2" s="1"/>
  <c r="AN41" i="2"/>
  <c r="AY77" i="2"/>
  <c r="BB77" i="2" s="1"/>
  <c r="BC77" i="2" s="1"/>
  <c r="R53" i="2"/>
  <c r="BE28" i="16" l="1"/>
  <c r="BE8" i="16"/>
  <c r="AD7" i="16"/>
  <c r="Z27" i="16"/>
  <c r="Z6" i="16"/>
  <c r="AP26" i="16"/>
  <c r="BC7" i="16"/>
  <c r="BK27" i="16"/>
  <c r="BK6" i="16"/>
  <c r="BG26" i="16"/>
  <c r="BX7" i="16"/>
  <c r="T27" i="16"/>
  <c r="AU8" i="16"/>
  <c r="U27" i="16"/>
  <c r="BA26" i="16"/>
  <c r="Q6" i="16"/>
  <c r="AV6" i="16"/>
  <c r="AN6" i="16"/>
  <c r="Y6" i="16"/>
  <c r="J27" i="16"/>
  <c r="AJ7" i="16"/>
  <c r="M27" i="16"/>
  <c r="Q26" i="16"/>
  <c r="X26" i="16"/>
  <c r="AL7" i="16"/>
  <c r="BB27" i="16"/>
  <c r="AT6" i="16"/>
  <c r="BF26" i="16"/>
  <c r="BW7" i="16"/>
  <c r="BS27" i="16"/>
  <c r="CI6" i="16"/>
  <c r="O6" i="16"/>
  <c r="K26" i="16"/>
  <c r="AB27" i="16"/>
  <c r="BH26" i="16"/>
  <c r="BQ27" i="16"/>
  <c r="CG26" i="16"/>
  <c r="Q27" i="16"/>
  <c r="BL6" i="16"/>
  <c r="AN27" i="16"/>
  <c r="Y7" i="16"/>
  <c r="BZ7" i="16"/>
  <c r="BV27" i="16"/>
  <c r="V6" i="16"/>
  <c r="N26" i="16"/>
  <c r="AE7" i="16"/>
  <c r="AU27" i="16"/>
  <c r="AQ6" i="16"/>
  <c r="BC26" i="16"/>
  <c r="T6" i="16"/>
  <c r="BQ7" i="16"/>
  <c r="CI28" i="16"/>
  <c r="AV26" i="16"/>
  <c r="CK26" i="16"/>
  <c r="BF7" i="16"/>
  <c r="BR27" i="16"/>
  <c r="BR6" i="16"/>
  <c r="BJ26" i="16"/>
  <c r="BO28" i="16"/>
  <c r="AA7" i="16"/>
  <c r="W27" i="16"/>
  <c r="W6" i="16"/>
  <c r="AM26" i="16"/>
  <c r="BP27" i="16"/>
  <c r="L6" i="16"/>
  <c r="AC7" i="16"/>
  <c r="U6" i="16"/>
  <c r="AG7" i="16"/>
  <c r="CB7" i="16"/>
  <c r="X7" i="16"/>
  <c r="AO7" i="16"/>
  <c r="Y26" i="16"/>
  <c r="CB27" i="16"/>
  <c r="U7" i="16"/>
  <c r="O26" i="16"/>
  <c r="K7" i="16"/>
  <c r="BJ6" i="16"/>
  <c r="P7" i="16"/>
  <c r="BY8" i="16"/>
  <c r="AS26" i="16"/>
  <c r="AZ26" i="16"/>
  <c r="AE26" i="16"/>
  <c r="AQ27" i="16"/>
  <c r="AL26" i="16"/>
  <c r="AT27" i="16"/>
  <c r="AX7" i="16"/>
  <c r="BN27" i="16"/>
  <c r="CD6" i="16"/>
  <c r="R6" i="16"/>
  <c r="AH26" i="16"/>
  <c r="BO7" i="16"/>
  <c r="CE27" i="16"/>
  <c r="S27" i="16"/>
  <c r="AI6" i="16"/>
  <c r="AY26" i="16"/>
  <c r="BH7" i="16"/>
  <c r="L27" i="16"/>
  <c r="AR26" i="16"/>
  <c r="M7" i="16"/>
  <c r="AS6" i="16"/>
  <c r="CC7" i="16"/>
  <c r="BM26" i="16"/>
  <c r="AF6" i="16"/>
  <c r="CJ6" i="16"/>
  <c r="CK27" i="16"/>
  <c r="CB6" i="16"/>
  <c r="AT7" i="16"/>
  <c r="AP27" i="16"/>
  <c r="AL6" i="16"/>
  <c r="AD26" i="16"/>
  <c r="AQ7" i="16"/>
  <c r="AM27" i="16"/>
  <c r="AE6" i="16"/>
  <c r="AA26" i="16"/>
  <c r="AZ27" i="16"/>
  <c r="AJ26" i="16"/>
  <c r="AS27" i="16"/>
  <c r="AK26" i="16"/>
  <c r="AW26" i="16"/>
  <c r="CJ7" i="16"/>
  <c r="CK7" i="16"/>
  <c r="CB26" i="16"/>
  <c r="V7" i="16"/>
  <c r="N27" i="16"/>
  <c r="J6" i="16"/>
  <c r="BO8" i="16"/>
  <c r="O7" i="16"/>
  <c r="K27" i="16"/>
  <c r="CI26" i="16"/>
  <c r="CF7" i="16"/>
  <c r="BX6" i="16"/>
  <c r="CG7" i="16"/>
  <c r="BQ6" i="16"/>
  <c r="AW7" i="16"/>
  <c r="AV7" i="16"/>
  <c r="BD27" i="16"/>
  <c r="BE27" i="16"/>
  <c r="CC26" i="16"/>
  <c r="BH27" i="16"/>
  <c r="AM6" i="16"/>
  <c r="AP6" i="16"/>
  <c r="CD7" i="16"/>
  <c r="AH27" i="16"/>
  <c r="BN26" i="16"/>
  <c r="AA8" i="16"/>
  <c r="AY27" i="16"/>
  <c r="CE26" i="16"/>
  <c r="BX27" i="16"/>
  <c r="BY7" i="16"/>
  <c r="BI26" i="16"/>
  <c r="AG27" i="16"/>
  <c r="BD7" i="16"/>
  <c r="AO27" i="16"/>
  <c r="CC6" i="16"/>
  <c r="T26" i="16"/>
  <c r="CA26" i="16"/>
  <c r="BS7" i="16"/>
  <c r="AD27" i="16"/>
  <c r="CK6" i="16"/>
  <c r="BL27" i="16"/>
  <c r="BA6" i="16"/>
  <c r="AZ6" i="16"/>
  <c r="BW26" i="16"/>
  <c r="CI27" i="16"/>
  <c r="BZ26" i="16"/>
  <c r="J7" i="16"/>
  <c r="Q8" i="16"/>
  <c r="AH7" i="16"/>
  <c r="AX27" i="16"/>
  <c r="BN6" i="16"/>
  <c r="CD26" i="16"/>
  <c r="R26" i="16"/>
  <c r="AY7" i="16"/>
  <c r="BO27" i="16"/>
  <c r="CE6" i="16"/>
  <c r="S6" i="16"/>
  <c r="AI26" i="16"/>
  <c r="AB7" i="16"/>
  <c r="BH6" i="16"/>
  <c r="L26" i="16"/>
  <c r="BI27" i="16"/>
  <c r="M6" i="16"/>
  <c r="Q7" i="16"/>
  <c r="BY28" i="16"/>
  <c r="P26" i="16"/>
  <c r="X6" i="16"/>
  <c r="Y27" i="16"/>
  <c r="C13" i="16"/>
  <c r="Z7" i="16"/>
  <c r="V27" i="16"/>
  <c r="N6" i="16"/>
  <c r="J26" i="16"/>
  <c r="W7" i="16"/>
  <c r="O27" i="16"/>
  <c r="K6" i="16"/>
  <c r="AK8" i="16"/>
  <c r="CF6" i="16"/>
  <c r="AU28" i="16"/>
  <c r="CG6" i="16"/>
  <c r="BM7" i="16"/>
  <c r="BL7" i="16"/>
  <c r="CJ27" i="16"/>
  <c r="BU27" i="16"/>
  <c r="CH7" i="16"/>
  <c r="BZ27" i="16"/>
  <c r="BV6" i="16"/>
  <c r="BR26" i="16"/>
  <c r="CA7" i="16"/>
  <c r="BW27" i="16"/>
  <c r="BS6" i="16"/>
  <c r="BK26" i="16"/>
  <c r="AR7" i="16"/>
  <c r="AJ6" i="16"/>
  <c r="AK7" i="16"/>
  <c r="AC6" i="16"/>
  <c r="AW27" i="16"/>
  <c r="P27" i="16"/>
  <c r="BD6" i="16"/>
  <c r="BE6" i="16"/>
  <c r="CJ26" i="16"/>
  <c r="M26" i="16"/>
  <c r="BP6" i="16"/>
  <c r="BG6" i="16"/>
  <c r="V26" i="16"/>
  <c r="N7" i="16"/>
  <c r="CI8" i="16"/>
  <c r="BA27" i="16"/>
  <c r="AU7" i="16"/>
  <c r="BB7" i="16"/>
  <c r="R7" i="16"/>
  <c r="AX6" i="16"/>
  <c r="AI7" i="16"/>
  <c r="BO6" i="16"/>
  <c r="S26" i="16"/>
  <c r="AB6" i="16"/>
  <c r="AC27" i="16"/>
  <c r="AF7" i="16"/>
  <c r="AA27" i="16"/>
  <c r="AX26" i="16"/>
  <c r="L7" i="16"/>
  <c r="AN7" i="16"/>
  <c r="CH26" i="16"/>
  <c r="BI7" i="16"/>
  <c r="CH6" i="16"/>
  <c r="CD27" i="16"/>
  <c r="CE7" i="16"/>
  <c r="BO26" i="16"/>
  <c r="AS7" i="16"/>
  <c r="AF27" i="16"/>
  <c r="AO6" i="16"/>
  <c r="CH27" i="16"/>
  <c r="BV26" i="16"/>
  <c r="CA27" i="16"/>
  <c r="BS26" i="16"/>
  <c r="AR6" i="16"/>
  <c r="AK6" i="16"/>
  <c r="AV27" i="16"/>
  <c r="BU6" i="16"/>
  <c r="BF27" i="16"/>
  <c r="AT26" i="16"/>
  <c r="BC27" i="16"/>
  <c r="AQ26" i="16"/>
  <c r="BP26" i="16"/>
  <c r="BQ26" i="16"/>
  <c r="BL26" i="16"/>
  <c r="AO26" i="16"/>
  <c r="BI6" i="16"/>
  <c r="BV7" i="16"/>
  <c r="BP7" i="16"/>
  <c r="R27" i="16"/>
  <c r="S7" i="16"/>
  <c r="AK28" i="16"/>
  <c r="BY6" i="16"/>
  <c r="BT27" i="16"/>
  <c r="BE26" i="16"/>
  <c r="BJ27" i="16"/>
  <c r="BB26" i="16"/>
  <c r="BG27" i="16"/>
  <c r="AU26" i="16"/>
  <c r="CF26" i="16"/>
  <c r="BY26" i="16"/>
  <c r="P6" i="16"/>
  <c r="BU26" i="16"/>
  <c r="AL27" i="16"/>
  <c r="Z26" i="16"/>
  <c r="AE27" i="16"/>
  <c r="W26" i="16"/>
  <c r="AB26" i="16"/>
  <c r="U26" i="16"/>
  <c r="BT7" i="16"/>
  <c r="AF26" i="16"/>
  <c r="T7" i="16"/>
  <c r="X27" i="16"/>
  <c r="CA6" i="16"/>
  <c r="AH6" i="16"/>
  <c r="AI27" i="16"/>
  <c r="AR27" i="16"/>
  <c r="AC26" i="16"/>
  <c r="AN26" i="16"/>
  <c r="Q28" i="16"/>
  <c r="BZ6" i="16"/>
  <c r="CI7" i="16"/>
  <c r="BW6" i="16"/>
  <c r="AZ7" i="16"/>
  <c r="BA7" i="16"/>
  <c r="BM27" i="16"/>
  <c r="BT6" i="16"/>
  <c r="BJ7" i="16"/>
  <c r="BB6" i="16"/>
  <c r="BG7" i="16"/>
  <c r="AU6" i="16"/>
  <c r="CF27" i="16"/>
  <c r="BY27" i="16"/>
  <c r="AG6" i="16"/>
  <c r="BD26" i="16"/>
  <c r="CC27" i="16"/>
  <c r="AA28" i="16"/>
  <c r="BN7" i="16"/>
  <c r="AY6" i="16"/>
  <c r="BX26" i="16"/>
  <c r="AW6" i="16"/>
  <c r="BU7" i="16"/>
  <c r="BR7" i="16"/>
  <c r="BF6" i="16"/>
  <c r="BK7" i="16"/>
  <c r="BC6" i="16"/>
  <c r="CG27" i="16"/>
  <c r="BM6" i="16"/>
  <c r="BT26" i="16"/>
  <c r="AP7" i="16"/>
  <c r="AD6" i="16"/>
  <c r="AM7" i="16"/>
  <c r="AA6" i="16"/>
  <c r="AJ27" i="16"/>
  <c r="AK27" i="16"/>
  <c r="AG26" i="16"/>
  <c r="BE7" i="16"/>
  <c r="A48" i="2"/>
  <c r="B60" i="2"/>
  <c r="C6" i="16"/>
  <c r="BC75" i="2"/>
  <c r="H4" i="2"/>
  <c r="A60" i="2" l="1"/>
  <c r="B72" i="2"/>
  <c r="D13" i="16"/>
  <c r="AT18" i="16"/>
  <c r="AT38" i="16"/>
  <c r="C7" i="16"/>
  <c r="A72" i="2" l="1"/>
  <c r="B84" i="2"/>
  <c r="A84" i="2" s="1"/>
  <c r="AT40" i="16"/>
  <c r="E13" i="16"/>
</calcChain>
</file>

<file path=xl/comments1.xml><?xml version="1.0" encoding="utf-8"?>
<comments xmlns="http://schemas.openxmlformats.org/spreadsheetml/2006/main">
  <authors>
    <author>wyoung</author>
    <author>Puget Sound Energy</author>
  </authors>
  <commentList>
    <comment ref="B4" authorId="0">
      <text>
        <r>
          <rPr>
            <sz val="8"/>
            <color indexed="81"/>
            <rFont val="Tahoma"/>
            <family val="2"/>
          </rPr>
          <t xml:space="preserve">
Insert the gross square footage of conditioned space served by the meters included in the spreadsheet.</t>
        </r>
      </text>
    </comment>
    <comment ref="A9" authorId="0">
      <text>
        <r>
          <rPr>
            <b/>
            <sz val="8"/>
            <color indexed="81"/>
            <rFont val="Tahoma"/>
            <family val="2"/>
          </rPr>
          <t>Building Type:</t>
        </r>
        <r>
          <rPr>
            <sz val="8"/>
            <color indexed="81"/>
            <rFont val="Tahoma"/>
            <family val="2"/>
          </rPr>
          <t xml:space="preserve">
Select the general type of building you are using to compare your facility to from the pull down list .</t>
        </r>
      </text>
    </comment>
    <comment ref="Y9" authorId="0">
      <text>
        <r>
          <rPr>
            <sz val="8"/>
            <color indexed="81"/>
            <rFont val="Tahoma"/>
            <family val="2"/>
          </rPr>
          <t xml:space="preserve">
Annual totals indicate the total for the 12-month period ending on this month.
</t>
        </r>
      </text>
    </comment>
    <comment ref="AS9" authorId="0">
      <text>
        <r>
          <rPr>
            <b/>
            <sz val="8"/>
            <color indexed="81"/>
            <rFont val="Tahoma"/>
            <family val="2"/>
          </rPr>
          <t xml:space="preserve"> </t>
        </r>
        <r>
          <rPr>
            <sz val="8"/>
            <color indexed="81"/>
            <rFont val="Tahoma"/>
            <family val="2"/>
          </rPr>
          <t xml:space="preserve">
This will help evaluate the weathers impact on natural gas use. </t>
        </r>
      </text>
    </comment>
    <comment ref="BB9" authorId="0">
      <text>
        <r>
          <rPr>
            <b/>
            <sz val="8"/>
            <color indexed="81"/>
            <rFont val="Tahoma"/>
            <family val="2"/>
          </rPr>
          <t>Energy Use Index</t>
        </r>
        <r>
          <rPr>
            <sz val="8"/>
            <color indexed="81"/>
            <rFont val="Tahoma"/>
            <family val="2"/>
          </rPr>
          <t xml:space="preserve">
This is a good indicater of overall building energy efficiency. 
 </t>
        </r>
      </text>
    </comment>
    <comment ref="BC9" authorId="0">
      <text>
        <r>
          <rPr>
            <b/>
            <sz val="8"/>
            <color indexed="81"/>
            <rFont val="Tahoma"/>
            <family val="2"/>
          </rPr>
          <t>Energy Use Index</t>
        </r>
        <r>
          <rPr>
            <sz val="8"/>
            <color indexed="81"/>
            <rFont val="Tahoma"/>
            <family val="2"/>
          </rPr>
          <t xml:space="preserve">
This is a weather corrected indicater of overall building energy efficiency. 
 </t>
        </r>
      </text>
    </comment>
    <comment ref="BE9" authorId="0">
      <text>
        <r>
          <rPr>
            <sz val="8"/>
            <color indexed="81"/>
            <rFont val="Tahoma"/>
            <family val="2"/>
          </rPr>
          <t xml:space="preserve">
This is a good indicator of electric efficiency. </t>
        </r>
      </text>
    </comment>
    <comment ref="BM14" authorId="1">
      <text>
        <r>
          <rPr>
            <sz val="8"/>
            <color indexed="81"/>
            <rFont val="Tahoma"/>
            <family val="2"/>
          </rPr>
          <t>Insert your own benchmarks. These figures are only placeholders.</t>
        </r>
      </text>
    </comment>
  </commentList>
</comments>
</file>

<file path=xl/comments2.xml><?xml version="1.0" encoding="utf-8"?>
<comments xmlns="http://schemas.openxmlformats.org/spreadsheetml/2006/main">
  <authors>
    <author>Bill Younger</author>
    <author>wyoung</author>
    <author>Puget Sound Energy</author>
  </authors>
  <commentList>
    <comment ref="B1" authorId="0">
      <text>
        <r>
          <rPr>
            <b/>
            <sz val="8"/>
            <color indexed="81"/>
            <rFont val="Tahoma"/>
            <family val="2"/>
          </rPr>
          <t>Benchmark Chart:</t>
        </r>
        <r>
          <rPr>
            <sz val="8"/>
            <color indexed="81"/>
            <rFont val="Tahoma"/>
            <family val="2"/>
          </rPr>
          <t xml:space="preserve">
Use this worksheet to create a chart to insert into an audit report which compares a given facility EUI with an industry range and median. Highlight the chart area and paste into a Word document as a Picture (Windows Metafile).</t>
        </r>
      </text>
    </comment>
    <comment ref="B3" authorId="1">
      <text>
        <r>
          <rPr>
            <b/>
            <sz val="8"/>
            <color indexed="81"/>
            <rFont val="Tahoma"/>
            <family val="2"/>
          </rPr>
          <t>Building Type:</t>
        </r>
        <r>
          <rPr>
            <sz val="8"/>
            <color indexed="81"/>
            <rFont val="Tahoma"/>
            <family val="2"/>
          </rPr>
          <t xml:space="preserve">
Enter the general type of building you are using to compare your facility to from the list below.</t>
        </r>
      </text>
    </comment>
    <comment ref="B5" authorId="1">
      <text>
        <r>
          <rPr>
            <b/>
            <sz val="8"/>
            <color indexed="81"/>
            <rFont val="Tahoma"/>
            <family val="2"/>
          </rPr>
          <t>Facility Name:</t>
        </r>
        <r>
          <rPr>
            <sz val="8"/>
            <color indexed="81"/>
            <rFont val="Tahoma"/>
            <family val="2"/>
          </rPr>
          <t xml:space="preserve">
Enter the name of the facility you are auditing.</t>
        </r>
      </text>
    </comment>
    <comment ref="B6" authorId="1">
      <text>
        <r>
          <rPr>
            <b/>
            <sz val="8"/>
            <color indexed="81"/>
            <rFont val="Tahoma"/>
            <family val="2"/>
          </rPr>
          <t xml:space="preserve">Energy Use Index:
</t>
        </r>
        <r>
          <rPr>
            <sz val="8"/>
            <color indexed="81"/>
            <rFont val="Tahoma"/>
            <family val="2"/>
          </rPr>
          <t>Enter the Energy Use Index in</t>
        </r>
        <r>
          <rPr>
            <b/>
            <sz val="8"/>
            <color indexed="81"/>
            <rFont val="Tahoma"/>
            <family val="2"/>
          </rPr>
          <t xml:space="preserve"> BTUs per Square Foot per Year</t>
        </r>
        <r>
          <rPr>
            <sz val="8"/>
            <color indexed="81"/>
            <rFont val="Tahoma"/>
            <family val="2"/>
          </rPr>
          <t xml:space="preserve"> for the facility you are auditing.</t>
        </r>
      </text>
    </comment>
    <comment ref="B8" authorId="1">
      <text>
        <r>
          <rPr>
            <b/>
            <sz val="8"/>
            <color indexed="81"/>
            <rFont val="Tahoma"/>
            <family val="2"/>
          </rPr>
          <t>Scale:</t>
        </r>
        <r>
          <rPr>
            <sz val="8"/>
            <color indexed="81"/>
            <rFont val="Tahoma"/>
            <family val="2"/>
          </rPr>
          <t xml:space="preserve">
Enter the high end of a scale that you want to use for the benchmark comparisons. The graduations will be divided into this number. </t>
        </r>
      </text>
    </comment>
    <comment ref="B10" authorId="1">
      <text>
        <r>
          <rPr>
            <b/>
            <sz val="8"/>
            <color indexed="81"/>
            <rFont val="Tahoma"/>
            <family val="2"/>
          </rPr>
          <t>Low Range:</t>
        </r>
        <r>
          <rPr>
            <sz val="8"/>
            <color indexed="81"/>
            <rFont val="Tahoma"/>
            <family val="2"/>
          </rPr>
          <t xml:space="preserve">
This number represents the most efficient facility of this Building Type. Enter the low range of survey data or the lowest reasonable usage you think a building of this type could use if operating at maximum efficiency.</t>
        </r>
      </text>
    </comment>
    <comment ref="B11" authorId="1">
      <text>
        <r>
          <rPr>
            <b/>
            <sz val="8"/>
            <color indexed="81"/>
            <rFont val="Tahoma"/>
            <family val="2"/>
          </rPr>
          <t>High Range:</t>
        </r>
        <r>
          <rPr>
            <sz val="8"/>
            <color indexed="81"/>
            <rFont val="Tahoma"/>
            <family val="2"/>
          </rPr>
          <t xml:space="preserve">
This number represents the least efficient facility of this Building Type. Enter the high range of survey data or the highest usage you think a building of this type could use if operating at a very low efficiency.</t>
        </r>
      </text>
    </comment>
    <comment ref="B12" authorId="1">
      <text>
        <r>
          <rPr>
            <b/>
            <sz val="8"/>
            <color indexed="81"/>
            <rFont val="Tahoma"/>
            <family val="2"/>
          </rPr>
          <t>Median:</t>
        </r>
        <r>
          <rPr>
            <sz val="8"/>
            <color indexed="81"/>
            <rFont val="Tahoma"/>
            <family val="2"/>
          </rPr>
          <t xml:space="preserve">
This number represents a point where 50% of buildings use more energy and 50% use less energy. Enter the median value from survey data if available or a value that you think represents the average consumption for a facility of this type.</t>
        </r>
      </text>
    </comment>
    <comment ref="C22" authorId="1">
      <text>
        <r>
          <rPr>
            <b/>
            <sz val="8"/>
            <color indexed="81"/>
            <rFont val="Tahoma"/>
            <family val="2"/>
          </rPr>
          <t>Source of Median Benchmarks:</t>
        </r>
        <r>
          <rPr>
            <sz val="8"/>
            <color indexed="81"/>
            <rFont val="Tahoma"/>
            <family val="2"/>
          </rPr>
          <t xml:space="preserve">
The US Department of Energy's Commercial Building Energy Consumption Survey (CBECS) database consists of a scientifically-selected sample of 6,734 commercial buildings and building occupants from throughout the United States.  Hundreds of characteristics reflecting building structure, operation, occupancy, equipment, energy use, peak demand, conservation actions and economic and demographic characteristics of the occupants were collected for each building in the database.  Onsite survey methods were applied to insure accuracy of the responses.  Geographic regions down to the nine census divisions are provided while other features such as climate zone and metropolitan/rural variables permit uses to construct their own geographic regions.</t>
        </r>
      </text>
    </comment>
    <comment ref="B37" authorId="2">
      <text>
        <r>
          <rPr>
            <sz val="8"/>
            <color indexed="81"/>
            <rFont val="Tahoma"/>
            <family val="2"/>
          </rPr>
          <t>Insert your own benchmarks. These figures are only placeholders.</t>
        </r>
      </text>
    </comment>
  </commentList>
</comments>
</file>

<file path=xl/sharedStrings.xml><?xml version="1.0" encoding="utf-8"?>
<sst xmlns="http://schemas.openxmlformats.org/spreadsheetml/2006/main" count="410" uniqueCount="202">
  <si>
    <t>To Date</t>
  </si>
  <si>
    <t>Usage</t>
  </si>
  <si>
    <t>Cost</t>
  </si>
  <si>
    <t># Days</t>
  </si>
  <si>
    <t>Gas Acct #</t>
  </si>
  <si>
    <t>Gas Rate</t>
  </si>
  <si>
    <t>Meter #</t>
  </si>
  <si>
    <t>FEB</t>
  </si>
  <si>
    <t>MAR</t>
  </si>
  <si>
    <t>APR</t>
  </si>
  <si>
    <t>MAY</t>
  </si>
  <si>
    <t>JUN</t>
  </si>
  <si>
    <t>JUL</t>
  </si>
  <si>
    <t>AUG</t>
  </si>
  <si>
    <t>SEP</t>
  </si>
  <si>
    <t>OCT</t>
  </si>
  <si>
    <t>NOV</t>
  </si>
  <si>
    <t>DEC</t>
  </si>
  <si>
    <t>Elec. Acct #</t>
  </si>
  <si>
    <t>kW Demand</t>
  </si>
  <si>
    <t>Annual</t>
  </si>
  <si>
    <t>kWh</t>
  </si>
  <si>
    <t>Load</t>
  </si>
  <si>
    <t>Electric</t>
  </si>
  <si>
    <t>Cost/kWh</t>
  </si>
  <si>
    <t>Therms</t>
  </si>
  <si>
    <t>Gas Cost</t>
  </si>
  <si>
    <t>Month</t>
  </si>
  <si>
    <t>Factor</t>
  </si>
  <si>
    <t>Costs</t>
  </si>
  <si>
    <t>$/Therm</t>
  </si>
  <si>
    <t>Monthly</t>
  </si>
  <si>
    <t>Gas</t>
  </si>
  <si>
    <t>/ Therm</t>
  </si>
  <si>
    <t>Day</t>
  </si>
  <si>
    <t>Therms /</t>
  </si>
  <si>
    <t>Degree</t>
  </si>
  <si>
    <t>Average</t>
  </si>
  <si>
    <t>TOTAL</t>
  </si>
  <si>
    <t>BTU/</t>
  </si>
  <si>
    <t>$/</t>
  </si>
  <si>
    <t>KWH/</t>
  </si>
  <si>
    <t>ANNUAL</t>
  </si>
  <si>
    <t>MONTHLY</t>
  </si>
  <si>
    <t>SQ.FT./</t>
  </si>
  <si>
    <t>COST</t>
  </si>
  <si>
    <t>MMBTU</t>
  </si>
  <si>
    <t>YEAR</t>
  </si>
  <si>
    <t>Square Footage</t>
  </si>
  <si>
    <t>Sq.Ft.</t>
  </si>
  <si>
    <t>Days</t>
  </si>
  <si>
    <t>Facility Name</t>
  </si>
  <si>
    <t>Address</t>
  </si>
  <si>
    <t>City, State</t>
  </si>
  <si>
    <t>Daily</t>
  </si>
  <si>
    <t>Temp</t>
  </si>
  <si>
    <t>Heating</t>
  </si>
  <si>
    <t>$/kWh</t>
  </si>
  <si>
    <t>Elec. Rate ID</t>
  </si>
  <si>
    <t>THERMS</t>
  </si>
  <si>
    <t>HDD/YEAR</t>
  </si>
  <si>
    <t>Enter data in yellow cells</t>
  </si>
  <si>
    <t>Power</t>
  </si>
  <si>
    <t xml:space="preserve">Change </t>
  </si>
  <si>
    <t>From Last</t>
  </si>
  <si>
    <t>Year</t>
  </si>
  <si>
    <t>kWh/</t>
  </si>
  <si>
    <t>kWh/Day</t>
  </si>
  <si>
    <t>Production</t>
  </si>
  <si>
    <t>Data</t>
  </si>
  <si>
    <t>(Occupancy)</t>
  </si>
  <si>
    <t>Trend</t>
  </si>
  <si>
    <t>ELECTRIC</t>
  </si>
  <si>
    <t>GAS</t>
  </si>
  <si>
    <t>Therms/</t>
  </si>
  <si>
    <t>Therms/Day</t>
  </si>
  <si>
    <t>Benchmark Comparison Chart</t>
  </si>
  <si>
    <t>Inputs</t>
  </si>
  <si>
    <t>Building Type</t>
  </si>
  <si>
    <t>Energy Use Index Benchmark Comparison</t>
  </si>
  <si>
    <t>for</t>
  </si>
  <si>
    <t>Energy Use Index</t>
  </si>
  <si>
    <t>Btu/Sq.Ft./Year</t>
  </si>
  <si>
    <t>Scale</t>
  </si>
  <si>
    <t>High End of Scale</t>
  </si>
  <si>
    <t>Low Range</t>
  </si>
  <si>
    <t>Btus / Square Foot / Year x 1,000</t>
  </si>
  <si>
    <t>High Range</t>
  </si>
  <si>
    <t>Median</t>
  </si>
  <si>
    <t>Range of Energy Use</t>
  </si>
  <si>
    <t>-</t>
  </si>
  <si>
    <t>to</t>
  </si>
  <si>
    <t>Btus / Square Foot / Year</t>
  </si>
  <si>
    <t>Low</t>
  </si>
  <si>
    <t>High</t>
  </si>
  <si>
    <t>Index</t>
  </si>
  <si>
    <t>EUI After Measures</t>
  </si>
  <si>
    <t>Demand</t>
  </si>
  <si>
    <t>kW</t>
  </si>
  <si>
    <t xml:space="preserve">kW Change </t>
  </si>
  <si>
    <t>EUI Reduction Estimate</t>
  </si>
  <si>
    <t>Current Energy Use Index</t>
  </si>
  <si>
    <t>Benchmark Energy Use Index</t>
  </si>
  <si>
    <t>This facility</t>
  </si>
  <si>
    <t>Typical facilities</t>
  </si>
  <si>
    <t>JAN 10</t>
  </si>
  <si>
    <t>JAN 11</t>
  </si>
  <si>
    <t>JAN 12</t>
  </si>
  <si>
    <t>JAN 13</t>
  </si>
  <si>
    <t>JAN 14</t>
  </si>
  <si>
    <t>JAN 15</t>
  </si>
  <si>
    <t>Subaccount #</t>
  </si>
  <si>
    <t>kWh/Sq.Ft./Year</t>
  </si>
  <si>
    <t>Annual Electricity Use</t>
  </si>
  <si>
    <t>Annual Natural Gas Use</t>
  </si>
  <si>
    <t>Therms/Sq.Ft./Year</t>
  </si>
  <si>
    <t>JAN 16</t>
  </si>
  <si>
    <t>JAN 17</t>
  </si>
  <si>
    <t>JAN 18</t>
  </si>
  <si>
    <t>JAN 19</t>
  </si>
  <si>
    <t>JAN 20</t>
  </si>
  <si>
    <t>JAN 21</t>
  </si>
  <si>
    <t>JAN 22</t>
  </si>
  <si>
    <t>JAN 23</t>
  </si>
  <si>
    <t>JAN 24</t>
  </si>
  <si>
    <t>January</t>
  </si>
  <si>
    <t>8°F</t>
  </si>
  <si>
    <t>79°F</t>
  </si>
  <si>
    <t>1.6"</t>
  </si>
  <si>
    <t>February</t>
  </si>
  <si>
    <t>7°F</t>
  </si>
  <si>
    <t>82°F</t>
  </si>
  <si>
    <t>1.7"</t>
  </si>
  <si>
    <t>March</t>
  </si>
  <si>
    <t>18°F</t>
  </si>
  <si>
    <t>91°F</t>
  </si>
  <si>
    <t>3.3"</t>
  </si>
  <si>
    <t>April</t>
  </si>
  <si>
    <t>24°F</t>
  </si>
  <si>
    <t>97°F</t>
  </si>
  <si>
    <t>5.3"</t>
  </si>
  <si>
    <t>May</t>
  </si>
  <si>
    <t>36°F</t>
  </si>
  <si>
    <t>98°F</t>
  </si>
  <si>
    <t>6.3"</t>
  </si>
  <si>
    <t>June</t>
  </si>
  <si>
    <t>55°F</t>
  </si>
  <si>
    <t>102°F</t>
  </si>
  <si>
    <t>6.0"</t>
  </si>
  <si>
    <t>July</t>
  </si>
  <si>
    <t>57°F</t>
  </si>
  <si>
    <t>103°F</t>
  </si>
  <si>
    <t>August</t>
  </si>
  <si>
    <t>108°F</t>
  </si>
  <si>
    <t>3.8"</t>
  </si>
  <si>
    <t>September</t>
  </si>
  <si>
    <t>42°F</t>
  </si>
  <si>
    <t>5.2"</t>
  </si>
  <si>
    <t>October</t>
  </si>
  <si>
    <t>27°F</t>
  </si>
  <si>
    <t>93°F</t>
  </si>
  <si>
    <t>3.2"</t>
  </si>
  <si>
    <t>November</t>
  </si>
  <si>
    <t>17°F</t>
  </si>
  <si>
    <t>87°F</t>
  </si>
  <si>
    <t>1.0"</t>
  </si>
  <si>
    <t>December</t>
  </si>
  <si>
    <t>-0°F</t>
  </si>
  <si>
    <t>77°F</t>
  </si>
  <si>
    <t>2.5"</t>
  </si>
  <si>
    <t>JAN 6</t>
  </si>
  <si>
    <t>JAN 7</t>
  </si>
  <si>
    <t>JAN 8</t>
  </si>
  <si>
    <t>JAN 9</t>
  </si>
  <si>
    <t>kVar</t>
  </si>
  <si>
    <t>Apartment - National</t>
  </si>
  <si>
    <t>Assembly</t>
  </si>
  <si>
    <t>Community Center</t>
  </si>
  <si>
    <t>Data Processing - National</t>
  </si>
  <si>
    <t>Grocery</t>
  </si>
  <si>
    <t>High Rise Apartment - National</t>
  </si>
  <si>
    <t>High Rise Office - National</t>
  </si>
  <si>
    <t>Hospital</t>
  </si>
  <si>
    <t>Hotel</t>
  </si>
  <si>
    <t>Industrial Process</t>
  </si>
  <si>
    <t>Libraries - Large Gas Heat</t>
  </si>
  <si>
    <t>Nursing Home</t>
  </si>
  <si>
    <t>Office</t>
  </si>
  <si>
    <t>Refrigerated Warehouse</t>
  </si>
  <si>
    <t>Residential</t>
  </si>
  <si>
    <t>Restaurant</t>
  </si>
  <si>
    <t>Retail</t>
  </si>
  <si>
    <t>Arkansas/National Benchmarks</t>
  </si>
  <si>
    <t>Education - Elementary Schools</t>
  </si>
  <si>
    <t>Education - High Schools</t>
  </si>
  <si>
    <t>Education - Middle Schools</t>
  </si>
  <si>
    <t>Warehouse - National</t>
  </si>
  <si>
    <t>Demo Library</t>
  </si>
  <si>
    <t>123 Fourth Street</t>
  </si>
  <si>
    <t>Little Rock, AR</t>
  </si>
  <si>
    <t>Main meter 1</t>
  </si>
  <si>
    <t>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</si>
</sst>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_);[Red]\(&quot;$&quot;#,##0.000\)"/>
    <numFmt numFmtId="165" formatCode="_(&quot;$&quot;* #,##0.000_);_(&quot;$&quot;* \(#,##0.000\);_(&quot;$&quot;* &quot;-&quot;??_);_(@_)"/>
    <numFmt numFmtId="166" formatCode="0.0"/>
    <numFmt numFmtId="167" formatCode="_(* #,##0.0_);_(* \(#,##0.0\);_(* &quot;-&quot;??_);_(@_)"/>
    <numFmt numFmtId="168" formatCode="_(* #,##0_);_(* \(#,##0\);_(* &quot;-&quot;??_);_(@_)"/>
    <numFmt numFmtId="169" formatCode="0.0%"/>
    <numFmt numFmtId="170" formatCode="#,##0.0_);\(#,##0.0\)"/>
    <numFmt numFmtId="171" formatCode="&quot;$&quot;#,##0.00"/>
  </numFmts>
  <fonts count="17" x14ac:knownFonts="1">
    <font>
      <sz val="10"/>
      <name val="Arial"/>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0"/>
      <color indexed="8"/>
      <name val="Arial"/>
      <family val="2"/>
    </font>
    <font>
      <sz val="10"/>
      <name val="Arial"/>
      <family val="2"/>
    </font>
    <font>
      <u/>
      <sz val="10"/>
      <color indexed="12"/>
      <name val="Arial"/>
      <family val="2"/>
    </font>
    <font>
      <sz val="10"/>
      <name val="Verdana"/>
      <family val="2"/>
    </font>
    <font>
      <b/>
      <sz val="14"/>
      <name val="Arial"/>
      <family val="2"/>
    </font>
    <font>
      <b/>
      <sz val="12"/>
      <name val="Arial"/>
      <family val="2"/>
    </font>
    <font>
      <sz val="9"/>
      <name val="Arial"/>
      <family val="2"/>
    </font>
    <font>
      <sz val="10"/>
      <color indexed="9"/>
      <name val="Arial"/>
      <family val="2"/>
    </font>
    <font>
      <u/>
      <sz val="10"/>
      <color indexed="12"/>
      <name val="Arial"/>
    </font>
    <font>
      <sz val="10"/>
      <color indexed="48"/>
      <name val="Arial"/>
    </font>
    <font>
      <i/>
      <sz val="10"/>
      <name val="Arial"/>
      <family val="2"/>
    </font>
  </fonts>
  <fills count="9">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12"/>
        <bgColor indexed="64"/>
      </patternFill>
    </fill>
    <fill>
      <patternFill patternType="solid">
        <fgColor indexed="43"/>
        <bgColor indexed="64"/>
      </patternFill>
    </fill>
    <fill>
      <patternFill patternType="solid">
        <fgColor indexed="11"/>
        <bgColor indexed="64"/>
      </patternFill>
    </fill>
    <fill>
      <patternFill patternType="solid">
        <fgColor rgb="FFFFFF00"/>
        <bgColor indexed="64"/>
      </patternFill>
    </fill>
    <fill>
      <patternFill patternType="solid">
        <fgColor rgb="FFFFCCCC"/>
        <bgColor indexed="64"/>
      </patternFill>
    </fill>
  </fills>
  <borders count="20">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0" fontId="8" fillId="0" borderId="0" applyNumberFormat="0" applyFill="0" applyBorder="0" applyAlignment="0" applyProtection="0">
      <alignment vertical="top"/>
      <protection locked="0"/>
    </xf>
    <xf numFmtId="9" fontId="2" fillId="0" borderId="0" applyFont="0" applyFill="0" applyBorder="0" applyAlignment="0" applyProtection="0"/>
    <xf numFmtId="0" fontId="14" fillId="0" borderId="0" applyNumberFormat="0" applyFill="0" applyBorder="0" applyAlignment="0" applyProtection="0">
      <alignment vertical="top"/>
      <protection locked="0"/>
    </xf>
    <xf numFmtId="0" fontId="1" fillId="0" borderId="0"/>
    <xf numFmtId="0" fontId="2" fillId="0" borderId="0"/>
    <xf numFmtId="0" fontId="2" fillId="0" borderId="0"/>
  </cellStyleXfs>
  <cellXfs count="179">
    <xf numFmtId="0" fontId="0" fillId="0" borderId="0" xfId="0"/>
    <xf numFmtId="0" fontId="0" fillId="0" borderId="0" xfId="0" applyAlignment="1">
      <alignment horizontal="center"/>
    </xf>
    <xf numFmtId="44" fontId="0" fillId="0" borderId="0" xfId="2" applyFont="1"/>
    <xf numFmtId="3" fontId="0" fillId="0" borderId="0" xfId="0" applyNumberFormat="1" applyAlignment="1">
      <alignment horizontal="center"/>
    </xf>
    <xf numFmtId="164" fontId="0" fillId="0" borderId="0" xfId="0" applyNumberFormat="1"/>
    <xf numFmtId="6" fontId="0" fillId="0" borderId="0" xfId="0" applyNumberFormat="1" applyAlignment="1">
      <alignment horizontal="center"/>
    </xf>
    <xf numFmtId="166" fontId="0" fillId="0" borderId="0" xfId="0" applyNumberFormat="1" applyAlignment="1">
      <alignment horizontal="center"/>
    </xf>
    <xf numFmtId="0" fontId="3" fillId="0" borderId="0" xfId="0" applyFont="1" applyAlignment="1">
      <alignment horizontal="center"/>
    </xf>
    <xf numFmtId="0" fontId="6" fillId="0" borderId="0" xfId="0" applyFont="1" applyAlignment="1">
      <alignment horizontal="center"/>
    </xf>
    <xf numFmtId="6" fontId="0" fillId="0" borderId="0" xfId="0" applyNumberFormat="1"/>
    <xf numFmtId="168" fontId="0" fillId="0" borderId="0" xfId="1" applyNumberFormat="1" applyFont="1" applyAlignment="1">
      <alignment horizontal="center"/>
    </xf>
    <xf numFmtId="0" fontId="0" fillId="2" borderId="0" xfId="0" applyFill="1"/>
    <xf numFmtId="168" fontId="0" fillId="2" borderId="0" xfId="1" applyNumberFormat="1" applyFont="1" applyFill="1"/>
    <xf numFmtId="0" fontId="7" fillId="0" borderId="0" xfId="0" applyFont="1"/>
    <xf numFmtId="166" fontId="0" fillId="0" borderId="0" xfId="1" applyNumberFormat="1" applyFont="1" applyAlignment="1">
      <alignment horizontal="center"/>
    </xf>
    <xf numFmtId="2" fontId="0" fillId="0" borderId="0" xfId="0" applyNumberFormat="1" applyAlignment="1">
      <alignment horizontal="center"/>
    </xf>
    <xf numFmtId="3" fontId="0" fillId="0" borderId="0" xfId="0" applyNumberFormat="1" applyFill="1" applyAlignment="1">
      <alignment horizontal="center"/>
    </xf>
    <xf numFmtId="14" fontId="0" fillId="2" borderId="0" xfId="0" applyNumberFormat="1" applyFill="1"/>
    <xf numFmtId="0" fontId="0" fillId="0" borderId="0" xfId="0" applyFill="1"/>
    <xf numFmtId="0" fontId="3" fillId="0" borderId="0" xfId="0" applyFont="1" applyFill="1"/>
    <xf numFmtId="0" fontId="3" fillId="0" borderId="0" xfId="0" applyFont="1" applyFill="1" applyAlignment="1">
      <alignment horizontal="center"/>
    </xf>
    <xf numFmtId="0" fontId="0" fillId="0" borderId="0" xfId="0" quotePrefix="1" applyFill="1"/>
    <xf numFmtId="169" fontId="0" fillId="0" borderId="0" xfId="4" applyNumberFormat="1" applyFont="1" applyFill="1"/>
    <xf numFmtId="169" fontId="3" fillId="0" borderId="0" xfId="4" applyNumberFormat="1" applyFont="1" applyFill="1" applyAlignment="1">
      <alignment horizontal="center"/>
    </xf>
    <xf numFmtId="3" fontId="0" fillId="0" borderId="0" xfId="0" applyNumberFormat="1" applyFill="1"/>
    <xf numFmtId="9" fontId="0" fillId="0" borderId="0" xfId="4" applyFont="1" applyFill="1" applyAlignment="1">
      <alignment horizontal="center"/>
    </xf>
    <xf numFmtId="165" fontId="0" fillId="0" borderId="0" xfId="2" applyNumberFormat="1" applyFont="1" applyFill="1" applyAlignment="1">
      <alignment horizontal="center"/>
    </xf>
    <xf numFmtId="169" fontId="0" fillId="0" borderId="0" xfId="4" applyNumberFormat="1" applyFont="1" applyFill="1" applyAlignment="1">
      <alignment horizontal="center"/>
    </xf>
    <xf numFmtId="8" fontId="0" fillId="0" borderId="0" xfId="0" applyNumberFormat="1" applyFill="1"/>
    <xf numFmtId="165" fontId="0" fillId="0" borderId="0" xfId="2" applyNumberFormat="1" applyFont="1" applyFill="1"/>
    <xf numFmtId="6" fontId="0" fillId="0" borderId="0" xfId="0" applyNumberFormat="1" applyFill="1" applyAlignment="1">
      <alignment horizontal="center"/>
    </xf>
    <xf numFmtId="166" fontId="0" fillId="0" borderId="0" xfId="0" applyNumberFormat="1" applyFill="1" applyAlignment="1">
      <alignment horizontal="center"/>
    </xf>
    <xf numFmtId="0" fontId="0" fillId="0" borderId="0" xfId="0" applyFill="1" applyAlignment="1">
      <alignment horizontal="center"/>
    </xf>
    <xf numFmtId="6" fontId="0" fillId="0" borderId="0" xfId="0" applyNumberFormat="1" applyFill="1"/>
    <xf numFmtId="168" fontId="0" fillId="0" borderId="0" xfId="1" applyNumberFormat="1" applyFont="1" applyFill="1" applyAlignment="1">
      <alignment horizontal="center"/>
    </xf>
    <xf numFmtId="44" fontId="0" fillId="0" borderId="0" xfId="2" applyFont="1" applyFill="1"/>
    <xf numFmtId="2" fontId="0" fillId="0" borderId="0" xfId="0" applyNumberFormat="1" applyFill="1" applyAlignment="1">
      <alignment horizontal="center"/>
    </xf>
    <xf numFmtId="1" fontId="0" fillId="0" borderId="0" xfId="0" applyNumberFormat="1" applyAlignment="1">
      <alignment horizontal="center"/>
    </xf>
    <xf numFmtId="44" fontId="3" fillId="0" borderId="0" xfId="2" applyFont="1" applyAlignment="1">
      <alignment horizontal="center"/>
    </xf>
    <xf numFmtId="0" fontId="0" fillId="2" borderId="0" xfId="0" applyFill="1" applyAlignment="1">
      <alignment horizontal="center"/>
    </xf>
    <xf numFmtId="166" fontId="0" fillId="2" borderId="0" xfId="0" applyNumberFormat="1" applyFill="1" applyAlignment="1">
      <alignment horizontal="center"/>
    </xf>
    <xf numFmtId="164" fontId="0" fillId="0" borderId="0" xfId="0" applyNumberFormat="1" applyAlignment="1">
      <alignment horizontal="center"/>
    </xf>
    <xf numFmtId="0" fontId="9" fillId="0" borderId="0" xfId="0" applyFont="1"/>
    <xf numFmtId="0" fontId="3" fillId="0" borderId="0" xfId="0" applyFont="1"/>
    <xf numFmtId="0" fontId="0" fillId="0" borderId="1" xfId="0" applyBorder="1"/>
    <xf numFmtId="0" fontId="11" fillId="0" borderId="2" xfId="0" applyFont="1" applyBorder="1" applyAlignment="1">
      <alignment horizontal="center"/>
    </xf>
    <xf numFmtId="0" fontId="11" fillId="0" borderId="0" xfId="0" applyFont="1" applyBorder="1" applyAlignment="1">
      <alignment horizontal="center"/>
    </xf>
    <xf numFmtId="0" fontId="11" fillId="0" borderId="3" xfId="0" applyFont="1" applyBorder="1" applyAlignment="1">
      <alignment horizontal="center"/>
    </xf>
    <xf numFmtId="0" fontId="0" fillId="0" borderId="2" xfId="0" applyBorder="1"/>
    <xf numFmtId="0" fontId="12" fillId="0" borderId="0" xfId="0" applyFont="1" applyBorder="1" applyAlignment="1">
      <alignment horizontal="center"/>
    </xf>
    <xf numFmtId="0" fontId="0" fillId="0" borderId="0" xfId="0" applyBorder="1"/>
    <xf numFmtId="0" fontId="3" fillId="0" borderId="0" xfId="0" applyFont="1" applyBorder="1"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 fontId="0" fillId="0" borderId="0" xfId="0" applyNumberFormat="1" applyBorder="1"/>
    <xf numFmtId="3" fontId="0" fillId="0" borderId="0" xfId="0" applyNumberFormat="1" applyBorder="1"/>
    <xf numFmtId="0" fontId="13" fillId="0" borderId="0" xfId="0" applyFont="1" applyBorder="1"/>
    <xf numFmtId="3" fontId="0" fillId="0" borderId="0" xfId="0" applyNumberFormat="1" applyFill="1" applyBorder="1"/>
    <xf numFmtId="0" fontId="0" fillId="0" borderId="0" xfId="0" applyBorder="1" applyAlignment="1">
      <alignment horizontal="center"/>
    </xf>
    <xf numFmtId="0" fontId="0" fillId="0" borderId="9" xfId="0" applyBorder="1"/>
    <xf numFmtId="3" fontId="0" fillId="0" borderId="10" xfId="0" applyNumberFormat="1" applyFill="1" applyBorder="1"/>
    <xf numFmtId="0" fontId="0" fillId="0" borderId="10" xfId="0" applyBorder="1"/>
    <xf numFmtId="0" fontId="0" fillId="0" borderId="11" xfId="0" applyBorder="1"/>
    <xf numFmtId="0" fontId="13" fillId="0" borderId="0" xfId="0" applyFont="1"/>
    <xf numFmtId="0" fontId="0" fillId="0" borderId="0" xfId="0" applyBorder="1" applyAlignment="1"/>
    <xf numFmtId="0" fontId="0" fillId="0" borderId="0" xfId="0" applyBorder="1" applyAlignment="1">
      <alignment horizontal="right"/>
    </xf>
    <xf numFmtId="0" fontId="0" fillId="2" borderId="4" xfId="0" applyFill="1" applyBorder="1" applyAlignment="1"/>
    <xf numFmtId="0" fontId="0" fillId="2" borderId="5" xfId="0" applyFill="1" applyBorder="1" applyAlignment="1"/>
    <xf numFmtId="0" fontId="0" fillId="2" borderId="8" xfId="0" applyFill="1" applyBorder="1" applyAlignment="1"/>
    <xf numFmtId="168" fontId="0" fillId="0" borderId="0" xfId="1" applyNumberFormat="1" applyFont="1" applyBorder="1" applyAlignment="1">
      <alignment horizontal="center"/>
    </xf>
    <xf numFmtId="0" fontId="0" fillId="0" borderId="0" xfId="0" applyBorder="1" applyAlignment="1">
      <alignment horizontal="left"/>
    </xf>
    <xf numFmtId="0" fontId="0" fillId="3" borderId="12" xfId="0" applyFill="1" applyBorder="1"/>
    <xf numFmtId="0" fontId="3" fillId="0" borderId="0" xfId="0" applyFont="1" applyBorder="1" applyAlignment="1">
      <alignment horizontal="right"/>
    </xf>
    <xf numFmtId="0" fontId="3" fillId="0" borderId="0" xfId="0" applyFont="1" applyBorder="1"/>
    <xf numFmtId="0" fontId="0" fillId="4" borderId="12" xfId="0" applyFill="1" applyBorder="1"/>
    <xf numFmtId="3" fontId="3" fillId="0" borderId="0" xfId="0" applyNumberFormat="1" applyFont="1" applyBorder="1" applyAlignment="1">
      <alignment horizontal="center"/>
    </xf>
    <xf numFmtId="0" fontId="3" fillId="0" borderId="0" xfId="0" applyFont="1" applyBorder="1" applyAlignment="1">
      <alignment horizontal="left"/>
    </xf>
    <xf numFmtId="3" fontId="0" fillId="5" borderId="0" xfId="0" applyNumberFormat="1" applyFill="1" applyBorder="1"/>
    <xf numFmtId="0" fontId="2" fillId="0" borderId="0" xfId="0" applyFont="1" applyBorder="1"/>
    <xf numFmtId="0" fontId="0" fillId="0" borderId="0" xfId="0" applyFill="1" applyBorder="1"/>
    <xf numFmtId="0" fontId="0" fillId="6" borderId="0" xfId="0" applyFill="1" applyBorder="1"/>
    <xf numFmtId="0" fontId="0" fillId="0" borderId="0" xfId="0" applyProtection="1"/>
    <xf numFmtId="3" fontId="0" fillId="0" borderId="0" xfId="4" applyNumberFormat="1" applyFont="1" applyFill="1" applyAlignment="1">
      <alignment horizontal="center"/>
    </xf>
    <xf numFmtId="3" fontId="0" fillId="0" borderId="0" xfId="1" applyNumberFormat="1" applyFont="1" applyFill="1" applyBorder="1"/>
    <xf numFmtId="9" fontId="0" fillId="5" borderId="0" xfId="4" applyFont="1" applyFill="1"/>
    <xf numFmtId="3" fontId="0" fillId="2" borderId="0" xfId="0" applyNumberFormat="1" applyFill="1" applyAlignment="1">
      <alignment horizontal="center"/>
    </xf>
    <xf numFmtId="6" fontId="0" fillId="2" borderId="0" xfId="0" applyNumberFormat="1" applyFill="1"/>
    <xf numFmtId="1" fontId="0" fillId="2" borderId="0" xfId="0" applyNumberFormat="1" applyFill="1" applyAlignment="1">
      <alignment horizontal="center"/>
    </xf>
    <xf numFmtId="6" fontId="0" fillId="2" borderId="0" xfId="0" applyNumberFormat="1" applyFill="1" applyAlignment="1">
      <alignment horizontal="center"/>
    </xf>
    <xf numFmtId="168" fontId="0" fillId="2" borderId="0" xfId="1" applyNumberFormat="1" applyFont="1" applyFill="1" applyAlignment="1">
      <alignment horizontal="center"/>
    </xf>
    <xf numFmtId="166" fontId="0" fillId="2" borderId="0" xfId="1" applyNumberFormat="1" applyFont="1" applyFill="1" applyAlignment="1">
      <alignment horizontal="center"/>
    </xf>
    <xf numFmtId="44" fontId="0" fillId="2" borderId="0" xfId="2" applyFont="1" applyFill="1"/>
    <xf numFmtId="2" fontId="0" fillId="2" borderId="0" xfId="0" applyNumberFormat="1" applyFill="1" applyAlignment="1">
      <alignment horizontal="center"/>
    </xf>
    <xf numFmtId="3" fontId="9" fillId="0" borderId="0" xfId="0" applyNumberFormat="1" applyFont="1"/>
    <xf numFmtId="0" fontId="3" fillId="0" borderId="0" xfId="0" applyFont="1" applyFill="1" applyAlignment="1">
      <alignment horizontal="left"/>
    </xf>
    <xf numFmtId="0" fontId="0" fillId="0" borderId="0" xfId="0" applyFill="1" applyBorder="1" applyAlignment="1">
      <alignment horizontal="left"/>
    </xf>
    <xf numFmtId="0" fontId="0" fillId="0" borderId="3" xfId="0" applyFill="1" applyBorder="1" applyAlignment="1">
      <alignment horizontal="left"/>
    </xf>
    <xf numFmtId="168" fontId="0" fillId="0" borderId="0" xfId="1" applyNumberFormat="1" applyFont="1"/>
    <xf numFmtId="1" fontId="0" fillId="0" borderId="0" xfId="2" applyNumberFormat="1" applyFont="1" applyAlignment="1">
      <alignment horizontal="center"/>
    </xf>
    <xf numFmtId="0" fontId="0" fillId="0" borderId="1" xfId="0" applyBorder="1" applyAlignment="1">
      <alignment horizontal="left"/>
    </xf>
    <xf numFmtId="0" fontId="0" fillId="0" borderId="9" xfId="0" applyBorder="1" applyAlignment="1">
      <alignment horizontal="center"/>
    </xf>
    <xf numFmtId="0" fontId="0" fillId="0" borderId="10" xfId="0" applyBorder="1" applyAlignment="1">
      <alignment horizontal="right"/>
    </xf>
    <xf numFmtId="3" fontId="0" fillId="0" borderId="10" xfId="0" applyNumberFormat="1" applyBorder="1"/>
    <xf numFmtId="44" fontId="0" fillId="0" borderId="10" xfId="2" applyFont="1" applyBorder="1"/>
    <xf numFmtId="3" fontId="3" fillId="0" borderId="13" xfId="0" applyNumberFormat="1" applyFont="1" applyBorder="1"/>
    <xf numFmtId="0" fontId="3" fillId="0" borderId="13" xfId="0" applyFont="1" applyBorder="1"/>
    <xf numFmtId="0" fontId="3" fillId="0" borderId="13" xfId="0" applyFont="1" applyBorder="1" applyAlignment="1">
      <alignment horizontal="right"/>
    </xf>
    <xf numFmtId="44" fontId="3" fillId="0" borderId="13" xfId="2" applyFont="1" applyBorder="1"/>
    <xf numFmtId="0" fontId="3" fillId="0" borderId="14" xfId="0" applyFont="1" applyBorder="1"/>
    <xf numFmtId="0" fontId="3" fillId="0" borderId="0" xfId="0" applyFont="1" applyAlignment="1">
      <alignment horizontal="right"/>
    </xf>
    <xf numFmtId="0" fontId="7" fillId="0" borderId="0" xfId="0" applyFont="1" applyBorder="1" applyAlignment="1">
      <alignment horizontal="left"/>
    </xf>
    <xf numFmtId="0" fontId="7" fillId="0" borderId="0" xfId="0" applyFont="1" applyBorder="1"/>
    <xf numFmtId="0" fontId="8" fillId="0" borderId="0" xfId="3" applyAlignment="1" applyProtection="1"/>
    <xf numFmtId="0" fontId="3" fillId="0" borderId="0" xfId="0" applyFont="1" applyAlignment="1"/>
    <xf numFmtId="0" fontId="0" fillId="0" borderId="0" xfId="0" applyAlignment="1">
      <alignment horizontal="left"/>
    </xf>
    <xf numFmtId="14" fontId="0" fillId="0" borderId="0" xfId="0" applyNumberFormat="1"/>
    <xf numFmtId="167" fontId="0" fillId="0" borderId="0" xfId="1" applyNumberFormat="1" applyFont="1"/>
    <xf numFmtId="0" fontId="0" fillId="0" borderId="0" xfId="0" applyAlignment="1">
      <alignment horizontal="right"/>
    </xf>
    <xf numFmtId="43" fontId="0" fillId="0" borderId="0" xfId="1" applyNumberFormat="1" applyFont="1"/>
    <xf numFmtId="0" fontId="3" fillId="2" borderId="0" xfId="0" applyFont="1" applyFill="1"/>
    <xf numFmtId="166" fontId="0" fillId="0" borderId="0" xfId="0" applyNumberFormat="1"/>
    <xf numFmtId="0" fontId="0" fillId="0" borderId="0" xfId="0" quotePrefix="1" applyAlignment="1">
      <alignment horizontal="center"/>
    </xf>
    <xf numFmtId="0" fontId="2" fillId="2" borderId="0" xfId="0" applyFont="1" applyFill="1"/>
    <xf numFmtId="0" fontId="0" fillId="2" borderId="0" xfId="0" applyFill="1"/>
    <xf numFmtId="0" fontId="0" fillId="2" borderId="0" xfId="0" applyFill="1"/>
    <xf numFmtId="8" fontId="0" fillId="2" borderId="0" xfId="0" applyNumberFormat="1" applyFill="1"/>
    <xf numFmtId="3" fontId="0" fillId="2" borderId="0" xfId="0" applyNumberFormat="1" applyFill="1"/>
    <xf numFmtId="0" fontId="0" fillId="2" borderId="0" xfId="0" applyFill="1"/>
    <xf numFmtId="170" fontId="15" fillId="7" borderId="0" xfId="0" applyNumberFormat="1" applyFont="1" applyFill="1"/>
    <xf numFmtId="170" fontId="2" fillId="7" borderId="0" xfId="0" applyNumberFormat="1" applyFont="1" applyFill="1"/>
    <xf numFmtId="10" fontId="0" fillId="0" borderId="0" xfId="4" applyNumberFormat="1" applyFont="1" applyFill="1" applyAlignment="1">
      <alignment horizontal="center"/>
    </xf>
    <xf numFmtId="37" fontId="0" fillId="2" borderId="0" xfId="1" applyNumberFormat="1" applyFont="1" applyFill="1"/>
    <xf numFmtId="170" fontId="0" fillId="2" borderId="0" xfId="0" applyNumberFormat="1" applyFill="1"/>
    <xf numFmtId="37" fontId="0" fillId="2" borderId="0" xfId="0" applyNumberFormat="1" applyFill="1"/>
    <xf numFmtId="37" fontId="2" fillId="7" borderId="0" xfId="0" applyNumberFormat="1" applyFont="1" applyFill="1"/>
    <xf numFmtId="171" fontId="0" fillId="2" borderId="0" xfId="0" applyNumberFormat="1" applyFill="1"/>
    <xf numFmtId="7" fontId="0" fillId="2" borderId="0" xfId="0" applyNumberFormat="1" applyFill="1"/>
    <xf numFmtId="7" fontId="0" fillId="2" borderId="0" xfId="2" applyNumberFormat="1" applyFont="1" applyFill="1"/>
    <xf numFmtId="0" fontId="0" fillId="0" borderId="0" xfId="0" applyFill="1" applyProtection="1"/>
    <xf numFmtId="0" fontId="2" fillId="0" borderId="0" xfId="0" applyFont="1" applyFill="1"/>
    <xf numFmtId="3" fontId="2" fillId="0" borderId="0" xfId="0" applyNumberFormat="1" applyFont="1" applyFill="1" applyAlignment="1">
      <alignment horizontal="center"/>
    </xf>
    <xf numFmtId="0" fontId="2" fillId="0" borderId="0" xfId="0" applyFont="1" applyFill="1" applyProtection="1"/>
    <xf numFmtId="0" fontId="7" fillId="2" borderId="0" xfId="0" applyFont="1" applyFill="1" applyAlignment="1">
      <alignment horizontal="center"/>
    </xf>
    <xf numFmtId="1" fontId="16" fillId="8" borderId="19" xfId="6" applyNumberFormat="1" applyFont="1" applyFill="1" applyBorder="1" applyAlignment="1" applyProtection="1">
      <alignment horizontal="center"/>
      <protection locked="0"/>
    </xf>
    <xf numFmtId="1" fontId="16" fillId="8" borderId="18" xfId="6" applyNumberFormat="1" applyFont="1" applyFill="1" applyBorder="1" applyAlignment="1" applyProtection="1">
      <alignment horizontal="center"/>
      <protection locked="0"/>
    </xf>
    <xf numFmtId="1" fontId="0" fillId="0" borderId="0" xfId="0" applyNumberFormat="1" applyBorder="1" applyAlignment="1">
      <alignment horizontal="center"/>
    </xf>
    <xf numFmtId="1" fontId="0" fillId="0" borderId="3" xfId="0" applyNumberFormat="1" applyBorder="1" applyAlignment="1">
      <alignment horizontal="center"/>
    </xf>
    <xf numFmtId="0" fontId="0" fillId="0" borderId="0" xfId="0" applyBorder="1" applyAlignment="1">
      <alignment horizontal="center"/>
    </xf>
    <xf numFmtId="3" fontId="0" fillId="0" borderId="0" xfId="1" applyNumberFormat="1" applyFont="1" applyBorder="1" applyAlignment="1">
      <alignment horizontal="center"/>
    </xf>
    <xf numFmtId="3" fontId="0" fillId="0" borderId="0" xfId="1" applyNumberFormat="1" applyFont="1" applyBorder="1" applyAlignment="1">
      <alignment horizontal="left"/>
    </xf>
    <xf numFmtId="0" fontId="10" fillId="0" borderId="4" xfId="0" applyFont="1" applyBorder="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0" fillId="0" borderId="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1" fillId="5" borderId="15" xfId="0" applyFont="1" applyFill="1" applyBorder="1" applyAlignment="1">
      <alignment horizontal="center" vertical="center" textRotation="90"/>
    </xf>
    <xf numFmtId="0" fontId="11" fillId="5" borderId="16" xfId="0" applyFont="1" applyFill="1" applyBorder="1" applyAlignment="1">
      <alignment horizontal="center" vertical="center" textRotation="90"/>
    </xf>
    <xf numFmtId="0" fontId="11" fillId="5" borderId="17" xfId="0" applyFont="1" applyFill="1" applyBorder="1" applyAlignment="1">
      <alignment horizontal="center" vertical="center" textRotation="90"/>
    </xf>
    <xf numFmtId="0" fontId="0" fillId="5" borderId="13" xfId="0" applyFill="1" applyBorder="1" applyAlignment="1">
      <alignment horizontal="left"/>
    </xf>
    <xf numFmtId="0" fontId="0" fillId="5" borderId="14" xfId="0" applyFill="1" applyBorder="1" applyAlignment="1">
      <alignment horizontal="left"/>
    </xf>
    <xf numFmtId="0" fontId="11" fillId="0" borderId="2" xfId="0" applyFont="1" applyBorder="1" applyAlignment="1">
      <alignment horizontal="center"/>
    </xf>
    <xf numFmtId="0" fontId="11" fillId="0" borderId="0" xfId="0" applyFont="1" applyBorder="1" applyAlignment="1">
      <alignment horizontal="center"/>
    </xf>
    <xf numFmtId="0" fontId="11" fillId="0" borderId="3" xfId="0" applyFont="1" applyBorder="1" applyAlignment="1">
      <alignment horizontal="center"/>
    </xf>
    <xf numFmtId="0" fontId="0" fillId="0" borderId="0" xfId="0" applyFill="1" applyBorder="1" applyAlignment="1">
      <alignment horizontal="left"/>
    </xf>
    <xf numFmtId="0" fontId="0" fillId="0" borderId="3" xfId="0" applyFill="1" applyBorder="1" applyAlignment="1">
      <alignment horizontal="left"/>
    </xf>
    <xf numFmtId="0" fontId="0" fillId="0" borderId="0" xfId="0" applyBorder="1" applyAlignment="1">
      <alignment horizontal="right"/>
    </xf>
    <xf numFmtId="0" fontId="3" fillId="0" borderId="0" xfId="0" applyFont="1" applyBorder="1" applyAlignment="1">
      <alignment horizontal="center"/>
    </xf>
    <xf numFmtId="1" fontId="2" fillId="0" borderId="0" xfId="0" applyNumberFormat="1" applyFont="1" applyBorder="1" applyAlignment="1">
      <alignment horizontal="center"/>
    </xf>
    <xf numFmtId="3" fontId="0" fillId="0" borderId="0" xfId="0" applyNumberFormat="1" applyBorder="1" applyAlignment="1">
      <alignment horizontal="center"/>
    </xf>
    <xf numFmtId="0" fontId="3" fillId="0" borderId="0" xfId="0" applyFont="1" applyBorder="1" applyAlignment="1">
      <alignment horizontal="right"/>
    </xf>
    <xf numFmtId="3" fontId="3" fillId="0" borderId="0" xfId="0" applyNumberFormat="1" applyFont="1" applyBorder="1" applyAlignment="1">
      <alignment horizontal="center"/>
    </xf>
    <xf numFmtId="0" fontId="7" fillId="0" borderId="0" xfId="0" applyFont="1" applyBorder="1" applyAlignment="1">
      <alignment horizontal="right"/>
    </xf>
    <xf numFmtId="3" fontId="7" fillId="0" borderId="0" xfId="0" applyNumberFormat="1" applyFont="1" applyBorder="1" applyAlignment="1">
      <alignment horizontal="center"/>
    </xf>
    <xf numFmtId="0" fontId="3" fillId="0" borderId="0" xfId="0" applyFont="1" applyAlignment="1">
      <alignment horizontal="center"/>
    </xf>
  </cellXfs>
  <cellStyles count="9">
    <cellStyle name="Comma" xfId="1" builtinId="3"/>
    <cellStyle name="Currency" xfId="2" builtinId="4"/>
    <cellStyle name="Hyperlink" xfId="3" builtinId="8"/>
    <cellStyle name="Hyperlink 2" xfId="5"/>
    <cellStyle name="Normal" xfId="0" builtinId="0"/>
    <cellStyle name="Normal 2" xfId="7"/>
    <cellStyle name="Normal 3" xfId="8"/>
    <cellStyle name="Normal 4" xfId="6"/>
    <cellStyle name="Percent" xfId="4" builtinId="5"/>
  </cellStyles>
  <dxfs count="6">
    <dxf>
      <fill>
        <patternFill>
          <bgColor indexed="39"/>
        </patternFill>
      </fill>
    </dxf>
    <dxf>
      <fill>
        <patternFill>
          <bgColor indexed="11"/>
        </patternFill>
      </fill>
    </dxf>
    <dxf>
      <fill>
        <patternFill>
          <bgColor indexed="39"/>
        </patternFill>
      </fill>
    </dxf>
    <dxf>
      <fill>
        <patternFill>
          <bgColor indexed="10"/>
        </patternFill>
      </fill>
    </dxf>
    <dxf>
      <fill>
        <patternFill>
          <bgColor indexed="13"/>
        </patternFill>
      </fill>
    </dxf>
    <dxf>
      <fill>
        <patternFill>
          <bgColor indexed="13"/>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styles" Target="styles.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worksheet" Target="worksheets/sheet2.xml"/><Relationship Id="rId5" Type="http://schemas.openxmlformats.org/officeDocument/2006/relationships/chartsheet" Target="chartsheets/sheet4.xml"/><Relationship Id="rId15" Type="http://schemas.openxmlformats.org/officeDocument/2006/relationships/calcChain" Target="calcChain.xml"/><Relationship Id="rId10" Type="http://schemas.openxmlformats.org/officeDocument/2006/relationships/chartsheet" Target="chartsheets/sheet9.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Electricity Consumption</a:t>
            </a:r>
          </a:p>
        </c:rich>
      </c:tx>
      <c:layout>
        <c:manualLayout>
          <c:xMode val="edge"/>
          <c:yMode val="edge"/>
          <c:x val="0.31853496115427304"/>
          <c:y val="1.9575856443719411E-2"/>
        </c:manualLayout>
      </c:layout>
      <c:overlay val="0"/>
      <c:spPr>
        <a:noFill/>
        <a:ln w="25400">
          <a:noFill/>
        </a:ln>
      </c:spPr>
    </c:title>
    <c:autoTitleDeleted val="0"/>
    <c:plotArea>
      <c:layout>
        <c:manualLayout>
          <c:layoutTarget val="inner"/>
          <c:xMode val="edge"/>
          <c:yMode val="edge"/>
          <c:x val="0.10432852386237514"/>
          <c:y val="0.18107667210440456"/>
          <c:w val="0.77913429522752498"/>
          <c:h val="0.62642740619902115"/>
        </c:manualLayout>
      </c:layout>
      <c:lineChart>
        <c:grouping val="standard"/>
        <c:varyColors val="0"/>
        <c:ser>
          <c:idx val="0"/>
          <c:order val="0"/>
          <c:tx>
            <c:v>Monthly kWh</c:v>
          </c:tx>
          <c:spPr>
            <a:ln w="12700">
              <a:solidFill>
                <a:srgbClr val="FF0000"/>
              </a:solidFill>
              <a:prstDash val="solid"/>
            </a:ln>
          </c:spPr>
          <c:marker>
            <c:symbol val="diamond"/>
            <c:size val="5"/>
            <c:spPr>
              <a:solidFill>
                <a:srgbClr val="FF0000"/>
              </a:solidFill>
              <a:ln>
                <a:solidFill>
                  <a:srgbClr val="FF0000"/>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Data!$E$12:$E$84</c:f>
              <c:numCache>
                <c:formatCode>#,##0_);\(#,##0\)</c:formatCode>
                <c:ptCount val="73"/>
                <c:pt idx="0">
                  <c:v>190500</c:v>
                </c:pt>
                <c:pt idx="1">
                  <c:v>207900</c:v>
                </c:pt>
                <c:pt idx="2">
                  <c:v>203100</c:v>
                </c:pt>
                <c:pt idx="3">
                  <c:v>256500</c:v>
                </c:pt>
                <c:pt idx="4">
                  <c:v>299400</c:v>
                </c:pt>
                <c:pt idx="5">
                  <c:v>243000</c:v>
                </c:pt>
                <c:pt idx="6">
                  <c:v>250800</c:v>
                </c:pt>
                <c:pt idx="7">
                  <c:v>351300</c:v>
                </c:pt>
                <c:pt idx="8">
                  <c:v>367500</c:v>
                </c:pt>
                <c:pt idx="9">
                  <c:v>275400</c:v>
                </c:pt>
                <c:pt idx="10">
                  <c:v>304200</c:v>
                </c:pt>
                <c:pt idx="11">
                  <c:v>296400</c:v>
                </c:pt>
                <c:pt idx="12">
                  <c:v>252600</c:v>
                </c:pt>
                <c:pt idx="13">
                  <c:v>364500</c:v>
                </c:pt>
                <c:pt idx="14">
                  <c:v>280500</c:v>
                </c:pt>
                <c:pt idx="15">
                  <c:v>286500</c:v>
                </c:pt>
                <c:pt idx="16">
                  <c:v>306900</c:v>
                </c:pt>
                <c:pt idx="17">
                  <c:v>320700</c:v>
                </c:pt>
                <c:pt idx="18">
                  <c:v>389700</c:v>
                </c:pt>
                <c:pt idx="19">
                  <c:v>384300</c:v>
                </c:pt>
                <c:pt idx="20">
                  <c:v>407700</c:v>
                </c:pt>
                <c:pt idx="21">
                  <c:v>322200</c:v>
                </c:pt>
                <c:pt idx="22">
                  <c:v>311400</c:v>
                </c:pt>
                <c:pt idx="23">
                  <c:v>348300</c:v>
                </c:pt>
                <c:pt idx="24">
                  <c:v>298800</c:v>
                </c:pt>
                <c:pt idx="25">
                  <c:v>353100</c:v>
                </c:pt>
                <c:pt idx="26">
                  <c:v>294900</c:v>
                </c:pt>
                <c:pt idx="27">
                  <c:v>312900</c:v>
                </c:pt>
                <c:pt idx="28">
                  <c:v>344100</c:v>
                </c:pt>
                <c:pt idx="29">
                  <c:v>357900</c:v>
                </c:pt>
                <c:pt idx="30">
                  <c:v>378000</c:v>
                </c:pt>
                <c:pt idx="31">
                  <c:v>420000</c:v>
                </c:pt>
                <c:pt idx="32">
                  <c:v>377100</c:v>
                </c:pt>
                <c:pt idx="33">
                  <c:v>264900</c:v>
                </c:pt>
                <c:pt idx="34">
                  <c:v>368100</c:v>
                </c:pt>
                <c:pt idx="35">
                  <c:v>359100</c:v>
                </c:pt>
                <c:pt idx="36">
                  <c:v>356100</c:v>
                </c:pt>
                <c:pt idx="37">
                  <c:v>345900</c:v>
                </c:pt>
                <c:pt idx="38">
                  <c:v>363300</c:v>
                </c:pt>
                <c:pt idx="39">
                  <c:v>390600</c:v>
                </c:pt>
                <c:pt idx="40">
                  <c:v>460500</c:v>
                </c:pt>
                <c:pt idx="41">
                  <c:v>404100</c:v>
                </c:pt>
                <c:pt idx="42">
                  <c:v>489000</c:v>
                </c:pt>
                <c:pt idx="43">
                  <c:v>573900</c:v>
                </c:pt>
                <c:pt idx="44">
                  <c:v>525300</c:v>
                </c:pt>
                <c:pt idx="45">
                  <c:v>404400</c:v>
                </c:pt>
                <c:pt idx="46">
                  <c:v>353700</c:v>
                </c:pt>
                <c:pt idx="47">
                  <c:v>357900</c:v>
                </c:pt>
                <c:pt idx="48">
                  <c:v>314100</c:v>
                </c:pt>
                <c:pt idx="49">
                  <c:v>304200</c:v>
                </c:pt>
                <c:pt idx="50">
                  <c:v>292800</c:v>
                </c:pt>
                <c:pt idx="51">
                  <c:v>335100</c:v>
                </c:pt>
                <c:pt idx="52">
                  <c:v>363000</c:v>
                </c:pt>
                <c:pt idx="53">
                  <c:v>335100</c:v>
                </c:pt>
                <c:pt idx="54">
                  <c:v>358200</c:v>
                </c:pt>
              </c:numCache>
            </c:numRef>
          </c:val>
          <c:smooth val="0"/>
        </c:ser>
        <c:dLbls>
          <c:showLegendKey val="0"/>
          <c:showVal val="0"/>
          <c:showCatName val="0"/>
          <c:showSerName val="0"/>
          <c:showPercent val="0"/>
          <c:showBubbleSize val="0"/>
        </c:dLbls>
        <c:marker val="1"/>
        <c:smooth val="0"/>
        <c:axId val="39056896"/>
        <c:axId val="39058816"/>
      </c:lineChart>
      <c:lineChart>
        <c:grouping val="standard"/>
        <c:varyColors val="0"/>
        <c:ser>
          <c:idx val="1"/>
          <c:order val="1"/>
          <c:tx>
            <c:v>Annual kWh</c:v>
          </c:tx>
          <c:spPr>
            <a:ln w="12700">
              <a:solidFill>
                <a:srgbClr val="0000FF"/>
              </a:solidFill>
              <a:prstDash val="solid"/>
            </a:ln>
          </c:spPr>
          <c:marker>
            <c:symbol val="square"/>
            <c:size val="5"/>
            <c:spPr>
              <a:solidFill>
                <a:srgbClr val="0000FF"/>
              </a:solidFill>
              <a:ln>
                <a:solidFill>
                  <a:srgbClr val="0000FF"/>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Data!$K$12:$K$84</c:f>
              <c:numCache>
                <c:formatCode>#,##0</c:formatCode>
                <c:ptCount val="73"/>
                <c:pt idx="11">
                  <c:v>3246000</c:v>
                </c:pt>
                <c:pt idx="12">
                  <c:v>3308100</c:v>
                </c:pt>
                <c:pt idx="13">
                  <c:v>3464700</c:v>
                </c:pt>
                <c:pt idx="14">
                  <c:v>3542100</c:v>
                </c:pt>
                <c:pt idx="15">
                  <c:v>3572100</c:v>
                </c:pt>
                <c:pt idx="16">
                  <c:v>3579600</c:v>
                </c:pt>
                <c:pt idx="17">
                  <c:v>3657300</c:v>
                </c:pt>
                <c:pt idx="18">
                  <c:v>3796200</c:v>
                </c:pt>
                <c:pt idx="19">
                  <c:v>3829200</c:v>
                </c:pt>
                <c:pt idx="20">
                  <c:v>3869400</c:v>
                </c:pt>
                <c:pt idx="21">
                  <c:v>3916200</c:v>
                </c:pt>
                <c:pt idx="22">
                  <c:v>3923400</c:v>
                </c:pt>
                <c:pt idx="23">
                  <c:v>3975300</c:v>
                </c:pt>
                <c:pt idx="24">
                  <c:v>4021500</c:v>
                </c:pt>
                <c:pt idx="25">
                  <c:v>4010100</c:v>
                </c:pt>
                <c:pt idx="26">
                  <c:v>4024500</c:v>
                </c:pt>
                <c:pt idx="27">
                  <c:v>4050900</c:v>
                </c:pt>
                <c:pt idx="28">
                  <c:v>4088100</c:v>
                </c:pt>
                <c:pt idx="29">
                  <c:v>4125300</c:v>
                </c:pt>
                <c:pt idx="30">
                  <c:v>4113600</c:v>
                </c:pt>
                <c:pt idx="31">
                  <c:v>4149300</c:v>
                </c:pt>
                <c:pt idx="32">
                  <c:v>4118700</c:v>
                </c:pt>
                <c:pt idx="33">
                  <c:v>4061400</c:v>
                </c:pt>
                <c:pt idx="34">
                  <c:v>4118100</c:v>
                </c:pt>
                <c:pt idx="35">
                  <c:v>4128900</c:v>
                </c:pt>
                <c:pt idx="36">
                  <c:v>4186200</c:v>
                </c:pt>
                <c:pt idx="37">
                  <c:v>4179000</c:v>
                </c:pt>
                <c:pt idx="38">
                  <c:v>4247400</c:v>
                </c:pt>
                <c:pt idx="39">
                  <c:v>4325100</c:v>
                </c:pt>
                <c:pt idx="40">
                  <c:v>4441500</c:v>
                </c:pt>
                <c:pt idx="41">
                  <c:v>4487700</c:v>
                </c:pt>
                <c:pt idx="42">
                  <c:v>4598700</c:v>
                </c:pt>
                <c:pt idx="43">
                  <c:v>4752600</c:v>
                </c:pt>
                <c:pt idx="44">
                  <c:v>4900800</c:v>
                </c:pt>
                <c:pt idx="45">
                  <c:v>5040300</c:v>
                </c:pt>
                <c:pt idx="46">
                  <c:v>5025900</c:v>
                </c:pt>
                <c:pt idx="47">
                  <c:v>5024700</c:v>
                </c:pt>
                <c:pt idx="48">
                  <c:v>4982700</c:v>
                </c:pt>
                <c:pt idx="49">
                  <c:v>4941000</c:v>
                </c:pt>
                <c:pt idx="50">
                  <c:v>4870500</c:v>
                </c:pt>
                <c:pt idx="51">
                  <c:v>4815000</c:v>
                </c:pt>
                <c:pt idx="52">
                  <c:v>4717500</c:v>
                </c:pt>
                <c:pt idx="53">
                  <c:v>4648500</c:v>
                </c:pt>
                <c:pt idx="54">
                  <c:v>4517700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smooth val="0"/>
        </c:ser>
        <c:dLbls>
          <c:showLegendKey val="0"/>
          <c:showVal val="0"/>
          <c:showCatName val="0"/>
          <c:showSerName val="0"/>
          <c:showPercent val="0"/>
          <c:showBubbleSize val="0"/>
        </c:dLbls>
        <c:marker val="1"/>
        <c:smooth val="0"/>
        <c:axId val="39204352"/>
        <c:axId val="39205888"/>
      </c:lineChart>
      <c:catAx>
        <c:axId val="39056896"/>
        <c:scaling>
          <c:orientation val="minMax"/>
        </c:scaling>
        <c:delete val="0"/>
        <c:axPos val="b"/>
        <c:majorGridlines>
          <c:spPr>
            <a:ln w="3175">
              <a:solidFill>
                <a:srgbClr val="969696"/>
              </a:solidFill>
              <a:prstDash val="lgDash"/>
            </a:ln>
          </c:spPr>
        </c:majorGridlines>
        <c:numFmt formatCode="General" sourceLinked="1"/>
        <c:majorTickMark val="out"/>
        <c:minorTickMark val="out"/>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39058816"/>
        <c:crosses val="autoZero"/>
        <c:auto val="1"/>
        <c:lblAlgn val="ctr"/>
        <c:lblOffset val="100"/>
        <c:tickLblSkip val="3"/>
        <c:tickMarkSkip val="12"/>
        <c:noMultiLvlLbl val="0"/>
      </c:catAx>
      <c:valAx>
        <c:axId val="39058816"/>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kWh / Month</a:t>
                </a:r>
              </a:p>
            </c:rich>
          </c:tx>
          <c:layout>
            <c:manualLayout>
              <c:xMode val="edge"/>
              <c:yMode val="edge"/>
              <c:x val="1.4428412874583796E-2"/>
              <c:y val="0.42740619902120719"/>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056896"/>
        <c:crosses val="autoZero"/>
        <c:crossBetween val="midCat"/>
      </c:valAx>
      <c:catAx>
        <c:axId val="39204352"/>
        <c:scaling>
          <c:orientation val="minMax"/>
        </c:scaling>
        <c:delete val="1"/>
        <c:axPos val="b"/>
        <c:majorTickMark val="out"/>
        <c:minorTickMark val="none"/>
        <c:tickLblPos val="nextTo"/>
        <c:crossAx val="39205888"/>
        <c:crosses val="autoZero"/>
        <c:auto val="1"/>
        <c:lblAlgn val="ctr"/>
        <c:lblOffset val="100"/>
        <c:noMultiLvlLbl val="0"/>
      </c:catAx>
      <c:valAx>
        <c:axId val="39205888"/>
        <c:scaling>
          <c:orientation val="minMax"/>
          <c:min val="0"/>
        </c:scaling>
        <c:delete val="0"/>
        <c:axPos val="r"/>
        <c:title>
          <c:tx>
            <c:rich>
              <a:bodyPr/>
              <a:lstStyle/>
              <a:p>
                <a:pPr>
                  <a:defRPr sz="1000" b="1" i="0" u="none" strike="noStrike" baseline="0">
                    <a:solidFill>
                      <a:srgbClr val="000000"/>
                    </a:solidFill>
                    <a:latin typeface="Arial"/>
                    <a:ea typeface="Arial"/>
                    <a:cs typeface="Arial"/>
                  </a:defRPr>
                </a:pPr>
                <a:r>
                  <a:rPr lang="en-US"/>
                  <a:t>kWh / Year</a:t>
                </a:r>
              </a:p>
            </c:rich>
          </c:tx>
          <c:layout>
            <c:manualLayout>
              <c:xMode val="edge"/>
              <c:yMode val="edge"/>
              <c:x val="0.96004439511653716"/>
              <c:y val="0.43556280587275692"/>
            </c:manualLayout>
          </c:layout>
          <c:overlay val="0"/>
          <c:spPr>
            <a:noFill/>
            <a:ln w="25400">
              <a:noFill/>
            </a:ln>
          </c:spPr>
        </c:title>
        <c:numFmt formatCode="#,##0" sourceLinked="1"/>
        <c:majorTickMark val="out"/>
        <c:minorTickMark val="out"/>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204352"/>
        <c:crosses val="max"/>
        <c:crossBetween val="midCat"/>
      </c:valAx>
      <c:spPr>
        <a:noFill/>
        <a:ln w="12700">
          <a:solidFill>
            <a:srgbClr val="808080"/>
          </a:solidFill>
          <a:prstDash val="solid"/>
        </a:ln>
      </c:spPr>
    </c:plotArea>
    <c:legend>
      <c:legendPos val="b"/>
      <c:layout>
        <c:manualLayout>
          <c:xMode val="edge"/>
          <c:yMode val="edge"/>
          <c:x val="0.22086570477247502"/>
          <c:y val="0.95432300163132133"/>
          <c:w val="0.55049944506104331"/>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Demand Trend</a:t>
            </a:r>
          </a:p>
        </c:rich>
      </c:tx>
      <c:layout>
        <c:manualLayout>
          <c:xMode val="edge"/>
          <c:yMode val="edge"/>
          <c:x val="0.38623751387347394"/>
          <c:y val="1.9575856443719411E-2"/>
        </c:manualLayout>
      </c:layout>
      <c:overlay val="0"/>
      <c:spPr>
        <a:noFill/>
        <a:ln w="25400">
          <a:noFill/>
        </a:ln>
      </c:spPr>
    </c:title>
    <c:autoTitleDeleted val="0"/>
    <c:plotArea>
      <c:layout>
        <c:manualLayout>
          <c:layoutTarget val="inner"/>
          <c:xMode val="edge"/>
          <c:yMode val="edge"/>
          <c:x val="7.4361820199778023E-2"/>
          <c:y val="0.15497553017944535"/>
          <c:w val="0.88901220865704778"/>
          <c:h val="0.73246329526916798"/>
        </c:manualLayout>
      </c:layout>
      <c:barChart>
        <c:barDir val="col"/>
        <c:grouping val="clustered"/>
        <c:varyColors val="0"/>
        <c:ser>
          <c:idx val="1"/>
          <c:order val="0"/>
          <c:tx>
            <c:v>Monthly kW</c:v>
          </c:tx>
          <c:spPr>
            <a:solidFill>
              <a:srgbClr val="993366"/>
            </a:solidFill>
            <a:ln w="12700">
              <a:solidFill>
                <a:srgbClr val="000000"/>
              </a:solidFill>
              <a:prstDash val="solid"/>
            </a:ln>
          </c:spPr>
          <c:invertIfNegative val="0"/>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Data!$F$12:$F$84</c:f>
              <c:numCache>
                <c:formatCode>#,##0.0_);\(#,##0.0\)</c:formatCode>
                <c:ptCount val="73"/>
                <c:pt idx="0">
                  <c:v>550.5</c:v>
                </c:pt>
                <c:pt idx="1">
                  <c:v>601.5</c:v>
                </c:pt>
                <c:pt idx="2">
                  <c:v>623.1</c:v>
                </c:pt>
                <c:pt idx="3">
                  <c:v>741.6</c:v>
                </c:pt>
                <c:pt idx="4">
                  <c:v>794.1</c:v>
                </c:pt>
                <c:pt idx="5">
                  <c:v>810.3</c:v>
                </c:pt>
                <c:pt idx="6">
                  <c:v>628.20000000000005</c:v>
                </c:pt>
                <c:pt idx="7">
                  <c:v>1104.5999999999999</c:v>
                </c:pt>
                <c:pt idx="8">
                  <c:v>871.8</c:v>
                </c:pt>
                <c:pt idx="9">
                  <c:v>762.9</c:v>
                </c:pt>
                <c:pt idx="10">
                  <c:v>766.5</c:v>
                </c:pt>
                <c:pt idx="11">
                  <c:v>703.2</c:v>
                </c:pt>
                <c:pt idx="12">
                  <c:v>703.2</c:v>
                </c:pt>
                <c:pt idx="13">
                  <c:v>827.4</c:v>
                </c:pt>
                <c:pt idx="14">
                  <c:v>990.3</c:v>
                </c:pt>
                <c:pt idx="15">
                  <c:v>800.7</c:v>
                </c:pt>
                <c:pt idx="16">
                  <c:v>793.8</c:v>
                </c:pt>
                <c:pt idx="17">
                  <c:v>790.5</c:v>
                </c:pt>
                <c:pt idx="18">
                  <c:v>1005.3</c:v>
                </c:pt>
                <c:pt idx="19">
                  <c:v>1251.5999999999999</c:v>
                </c:pt>
                <c:pt idx="20">
                  <c:v>1193.0999999999999</c:v>
                </c:pt>
                <c:pt idx="21">
                  <c:v>941.1</c:v>
                </c:pt>
                <c:pt idx="22">
                  <c:v>959.7</c:v>
                </c:pt>
                <c:pt idx="23">
                  <c:v>765.9</c:v>
                </c:pt>
                <c:pt idx="24">
                  <c:v>770.1</c:v>
                </c:pt>
                <c:pt idx="25">
                  <c:v>896.7</c:v>
                </c:pt>
                <c:pt idx="26">
                  <c:v>983.1</c:v>
                </c:pt>
                <c:pt idx="27">
                  <c:v>941.4</c:v>
                </c:pt>
                <c:pt idx="28">
                  <c:v>975</c:v>
                </c:pt>
                <c:pt idx="29">
                  <c:v>1050.2</c:v>
                </c:pt>
                <c:pt idx="30">
                  <c:v>807</c:v>
                </c:pt>
                <c:pt idx="31">
                  <c:v>1177.9000000000001</c:v>
                </c:pt>
                <c:pt idx="32">
                  <c:v>1165.5</c:v>
                </c:pt>
                <c:pt idx="33">
                  <c:v>932</c:v>
                </c:pt>
                <c:pt idx="34">
                  <c:v>862.1</c:v>
                </c:pt>
                <c:pt idx="35">
                  <c:v>789.2</c:v>
                </c:pt>
                <c:pt idx="36">
                  <c:v>763</c:v>
                </c:pt>
                <c:pt idx="37">
                  <c:v>766.7</c:v>
                </c:pt>
                <c:pt idx="38">
                  <c:v>865.7</c:v>
                </c:pt>
                <c:pt idx="39">
                  <c:v>851.1</c:v>
                </c:pt>
                <c:pt idx="40">
                  <c:v>1037.7</c:v>
                </c:pt>
                <c:pt idx="41">
                  <c:v>900.5</c:v>
                </c:pt>
                <c:pt idx="42">
                  <c:v>1017.7</c:v>
                </c:pt>
                <c:pt idx="43">
                  <c:v>1342.8</c:v>
                </c:pt>
                <c:pt idx="44">
                  <c:v>1314</c:v>
                </c:pt>
                <c:pt idx="45">
                  <c:v>1248</c:v>
                </c:pt>
                <c:pt idx="46">
                  <c:v>836.3</c:v>
                </c:pt>
                <c:pt idx="47">
                  <c:v>791.9</c:v>
                </c:pt>
                <c:pt idx="48">
                  <c:v>935.5</c:v>
                </c:pt>
                <c:pt idx="49">
                  <c:v>873.8</c:v>
                </c:pt>
                <c:pt idx="50">
                  <c:v>840.2</c:v>
                </c:pt>
                <c:pt idx="51">
                  <c:v>974.3</c:v>
                </c:pt>
                <c:pt idx="52">
                  <c:v>1188.8</c:v>
                </c:pt>
                <c:pt idx="53">
                  <c:v>903.5</c:v>
                </c:pt>
                <c:pt idx="54">
                  <c:v>1163.2</c:v>
                </c:pt>
              </c:numCache>
            </c:numRef>
          </c:val>
        </c:ser>
        <c:dLbls>
          <c:showLegendKey val="0"/>
          <c:showVal val="0"/>
          <c:showCatName val="0"/>
          <c:showSerName val="0"/>
          <c:showPercent val="0"/>
          <c:showBubbleSize val="0"/>
        </c:dLbls>
        <c:gapWidth val="150"/>
        <c:axId val="39622144"/>
        <c:axId val="39624064"/>
      </c:barChart>
      <c:lineChart>
        <c:grouping val="standard"/>
        <c:varyColors val="0"/>
        <c:ser>
          <c:idx val="0"/>
          <c:order val="1"/>
          <c:tx>
            <c:v>Annual Average kW</c:v>
          </c:tx>
          <c:spPr>
            <a:ln w="12700">
              <a:solidFill>
                <a:srgbClr val="000080"/>
              </a:solidFill>
              <a:prstDash val="solid"/>
            </a:ln>
          </c:spPr>
          <c:marker>
            <c:symbol val="diamond"/>
            <c:size val="5"/>
            <c:spPr>
              <a:solidFill>
                <a:srgbClr val="000080"/>
              </a:solidFill>
              <a:ln>
                <a:solidFill>
                  <a:srgbClr val="000080"/>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Data!$S$12:$S$84</c:f>
              <c:numCache>
                <c:formatCode>0.0%</c:formatCode>
                <c:ptCount val="73"/>
                <c:pt idx="11" formatCode="#,##0">
                  <c:v>746.52499999999998</c:v>
                </c:pt>
                <c:pt idx="12" formatCode="#,##0">
                  <c:v>759.25</c:v>
                </c:pt>
                <c:pt idx="13" formatCode="#,##0">
                  <c:v>778.07499999999993</c:v>
                </c:pt>
                <c:pt idx="14" formatCode="#,##0">
                  <c:v>808.67499999999984</c:v>
                </c:pt>
                <c:pt idx="15" formatCode="#,##0">
                  <c:v>813.59999999999991</c:v>
                </c:pt>
                <c:pt idx="16" formatCode="#,##0">
                  <c:v>813.57499999999982</c:v>
                </c:pt>
                <c:pt idx="17" formatCode="#,##0">
                  <c:v>811.92499999999984</c:v>
                </c:pt>
                <c:pt idx="18" formatCode="#,##0">
                  <c:v>843.34999999999991</c:v>
                </c:pt>
                <c:pt idx="19" formatCode="#,##0">
                  <c:v>855.59999999999991</c:v>
                </c:pt>
                <c:pt idx="20" formatCode="#,##0">
                  <c:v>882.375</c:v>
                </c:pt>
                <c:pt idx="21" formatCode="#,##0">
                  <c:v>897.22500000000002</c:v>
                </c:pt>
                <c:pt idx="22" formatCode="#,##0">
                  <c:v>913.32500000000016</c:v>
                </c:pt>
                <c:pt idx="23" formatCode="#,##0">
                  <c:v>918.55000000000007</c:v>
                </c:pt>
                <c:pt idx="24" formatCode="#,##0">
                  <c:v>924.12500000000011</c:v>
                </c:pt>
                <c:pt idx="25" formatCode="#,##0">
                  <c:v>929.9000000000002</c:v>
                </c:pt>
                <c:pt idx="26" formatCode="#,##0">
                  <c:v>929.30000000000018</c:v>
                </c:pt>
                <c:pt idx="27" formatCode="#,##0">
                  <c:v>941.02499999999998</c:v>
                </c:pt>
                <c:pt idx="28" formatCode="#,##0">
                  <c:v>956.125</c:v>
                </c:pt>
                <c:pt idx="29" formatCode="#,##0">
                  <c:v>977.76666666666654</c:v>
                </c:pt>
                <c:pt idx="30" formatCode="#,##0">
                  <c:v>961.24166666666679</c:v>
                </c:pt>
                <c:pt idx="31" formatCode="#,##0">
                  <c:v>955.09999999999991</c:v>
                </c:pt>
                <c:pt idx="32" formatCode="#,##0">
                  <c:v>952.80000000000007</c:v>
                </c:pt>
                <c:pt idx="33" formatCode="#,##0">
                  <c:v>952.04166666666663</c:v>
                </c:pt>
                <c:pt idx="34" formatCode="#,##0">
                  <c:v>943.9083333333333</c:v>
                </c:pt>
                <c:pt idx="35" formatCode="#,##0">
                  <c:v>945.85</c:v>
                </c:pt>
                <c:pt idx="36" formatCode="#,##0">
                  <c:v>945.25833333333355</c:v>
                </c:pt>
                <c:pt idx="37" formatCode="#,##0">
                  <c:v>934.42500000000018</c:v>
                </c:pt>
                <c:pt idx="38" formatCode="#,##0">
                  <c:v>924.64166666666688</c:v>
                </c:pt>
                <c:pt idx="39" formatCode="#,##0">
                  <c:v>917.1166666666669</c:v>
                </c:pt>
                <c:pt idx="40" formatCode="#,##0">
                  <c:v>922.34166666666681</c:v>
                </c:pt>
                <c:pt idx="41" formatCode="#,##0">
                  <c:v>909.86666666666667</c:v>
                </c:pt>
                <c:pt idx="42" formatCode="#,##0">
                  <c:v>927.42500000000007</c:v>
                </c:pt>
                <c:pt idx="43" formatCode="#,##0">
                  <c:v>941.16666666666663</c:v>
                </c:pt>
                <c:pt idx="44" formatCode="#,##0">
                  <c:v>953.54166666666663</c:v>
                </c:pt>
                <c:pt idx="45" formatCode="#,##0">
                  <c:v>979.875</c:v>
                </c:pt>
                <c:pt idx="46" formatCode="#,##0">
                  <c:v>977.72499999999991</c:v>
                </c:pt>
                <c:pt idx="47" formatCode="#,##0">
                  <c:v>977.94999999999993</c:v>
                </c:pt>
                <c:pt idx="48" formatCode="#,##0">
                  <c:v>992.32499999999993</c:v>
                </c:pt>
                <c:pt idx="49" formatCode="#,##0">
                  <c:v>1001.2499999999999</c:v>
                </c:pt>
                <c:pt idx="50" formatCode="#,##0">
                  <c:v>999.125</c:v>
                </c:pt>
                <c:pt idx="51" formatCode="#,##0">
                  <c:v>1009.3916666666665</c:v>
                </c:pt>
                <c:pt idx="52" formatCode="#,##0">
                  <c:v>1021.9833333333332</c:v>
                </c:pt>
                <c:pt idx="53" formatCode="#,##0">
                  <c:v>1022.2333333333332</c:v>
                </c:pt>
                <c:pt idx="54" formatCode="#,##0">
                  <c:v>1034.3583333333333</c:v>
                </c:pt>
                <c:pt idx="55" formatCode="#,##0">
                  <c:v>0</c:v>
                </c:pt>
                <c:pt idx="56" formatCode="#,##0">
                  <c:v>0</c:v>
                </c:pt>
                <c:pt idx="57" formatCode="#,##0">
                  <c:v>0</c:v>
                </c:pt>
                <c:pt idx="58" formatCode="#,##0">
                  <c:v>0</c:v>
                </c:pt>
                <c:pt idx="59" formatCode="#,##0">
                  <c:v>0</c:v>
                </c:pt>
                <c:pt idx="60" formatCode="#,##0">
                  <c:v>0</c:v>
                </c:pt>
                <c:pt idx="61" formatCode="#,##0">
                  <c:v>0</c:v>
                </c:pt>
                <c:pt idx="62" formatCode="#,##0">
                  <c:v>0</c:v>
                </c:pt>
                <c:pt idx="63" formatCode="#,##0">
                  <c:v>0</c:v>
                </c:pt>
                <c:pt idx="64" formatCode="#,##0">
                  <c:v>0</c:v>
                </c:pt>
                <c:pt idx="65" formatCode="#,##0">
                  <c:v>0</c:v>
                </c:pt>
                <c:pt idx="66" formatCode="#,##0">
                  <c:v>0</c:v>
                </c:pt>
                <c:pt idx="67" formatCode="#,##0">
                  <c:v>0</c:v>
                </c:pt>
                <c:pt idx="68" formatCode="#,##0">
                  <c:v>0</c:v>
                </c:pt>
                <c:pt idx="69" formatCode="#,##0">
                  <c:v>0</c:v>
                </c:pt>
                <c:pt idx="70" formatCode="#,##0">
                  <c:v>0</c:v>
                </c:pt>
                <c:pt idx="71" formatCode="#,##0">
                  <c:v>0</c:v>
                </c:pt>
                <c:pt idx="72" formatCode="#,##0">
                  <c:v>0</c:v>
                </c:pt>
              </c:numCache>
            </c:numRef>
          </c:val>
          <c:smooth val="0"/>
        </c:ser>
        <c:dLbls>
          <c:showLegendKey val="0"/>
          <c:showVal val="0"/>
          <c:showCatName val="0"/>
          <c:showSerName val="0"/>
          <c:showPercent val="0"/>
          <c:showBubbleSize val="0"/>
        </c:dLbls>
        <c:marker val="1"/>
        <c:smooth val="0"/>
        <c:axId val="39630336"/>
        <c:axId val="39631872"/>
      </c:lineChart>
      <c:catAx>
        <c:axId val="39622144"/>
        <c:scaling>
          <c:orientation val="minMax"/>
        </c:scaling>
        <c:delete val="0"/>
        <c:axPos val="b"/>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624064"/>
        <c:crosses val="autoZero"/>
        <c:auto val="0"/>
        <c:lblAlgn val="ctr"/>
        <c:lblOffset val="100"/>
        <c:tickLblSkip val="12"/>
        <c:tickMarkSkip val="12"/>
        <c:noMultiLvlLbl val="0"/>
      </c:catAx>
      <c:valAx>
        <c:axId val="3962406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kW Demand</a:t>
                </a:r>
              </a:p>
            </c:rich>
          </c:tx>
          <c:layout>
            <c:manualLayout>
              <c:xMode val="edge"/>
              <c:yMode val="edge"/>
              <c:x val="1.2208657047724751E-2"/>
              <c:y val="0.45513866231647637"/>
            </c:manualLayout>
          </c:layout>
          <c:overlay val="0"/>
          <c:spPr>
            <a:noFill/>
            <a:ln w="25400">
              <a:noFill/>
            </a:ln>
          </c:spPr>
        </c:title>
        <c:numFmt formatCode="#,##0.0_);\(#,##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9622144"/>
        <c:crosses val="autoZero"/>
        <c:crossBetween val="midCat"/>
      </c:valAx>
      <c:catAx>
        <c:axId val="39630336"/>
        <c:scaling>
          <c:orientation val="minMax"/>
        </c:scaling>
        <c:delete val="1"/>
        <c:axPos val="b"/>
        <c:majorTickMark val="out"/>
        <c:minorTickMark val="none"/>
        <c:tickLblPos val="nextTo"/>
        <c:crossAx val="39631872"/>
        <c:crosses val="autoZero"/>
        <c:auto val="0"/>
        <c:lblAlgn val="ctr"/>
        <c:lblOffset val="100"/>
        <c:noMultiLvlLbl val="0"/>
      </c:catAx>
      <c:valAx>
        <c:axId val="39631872"/>
        <c:scaling>
          <c:orientation val="minMax"/>
        </c:scaling>
        <c:delete val="1"/>
        <c:axPos val="l"/>
        <c:numFmt formatCode="0.0%" sourceLinked="1"/>
        <c:majorTickMark val="out"/>
        <c:minorTickMark val="none"/>
        <c:tickLblPos val="nextTo"/>
        <c:crossAx val="39630336"/>
        <c:crosses val="autoZero"/>
        <c:crossBetween val="midCat"/>
      </c:valAx>
      <c:spPr>
        <a:noFill/>
        <a:ln w="12700">
          <a:solidFill>
            <a:srgbClr val="808080"/>
          </a:solidFill>
          <a:prstDash val="solid"/>
        </a:ln>
      </c:spPr>
    </c:plotArea>
    <c:legend>
      <c:legendPos val="b"/>
      <c:layout>
        <c:manualLayout>
          <c:xMode val="edge"/>
          <c:yMode val="edge"/>
          <c:x val="0.28301886792452829"/>
          <c:y val="0.9559543230016313"/>
          <c:w val="0.48279689234184237"/>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Load Factor and Power Factor</a:t>
            </a:r>
          </a:p>
        </c:rich>
      </c:tx>
      <c:layout>
        <c:manualLayout>
          <c:xMode val="edge"/>
          <c:yMode val="edge"/>
          <c:x val="0.27524972253052166"/>
          <c:y val="1.9575856443719411E-2"/>
        </c:manualLayout>
      </c:layout>
      <c:overlay val="0"/>
      <c:spPr>
        <a:noFill/>
        <a:ln w="25400">
          <a:noFill/>
        </a:ln>
      </c:spPr>
    </c:title>
    <c:autoTitleDeleted val="0"/>
    <c:plotArea>
      <c:layout>
        <c:manualLayout>
          <c:layoutTarget val="inner"/>
          <c:xMode val="edge"/>
          <c:yMode val="edge"/>
          <c:x val="8.7680355160932297E-2"/>
          <c:y val="0.15497553017944535"/>
          <c:w val="0.90122086570477244"/>
          <c:h val="0.73246329526916798"/>
        </c:manualLayout>
      </c:layout>
      <c:barChart>
        <c:barDir val="col"/>
        <c:grouping val="clustered"/>
        <c:varyColors val="0"/>
        <c:ser>
          <c:idx val="1"/>
          <c:order val="0"/>
          <c:tx>
            <c:v>Load Factor</c:v>
          </c:tx>
          <c:spPr>
            <a:solidFill>
              <a:srgbClr val="993366"/>
            </a:solidFill>
            <a:ln w="12700">
              <a:solidFill>
                <a:srgbClr val="000000"/>
              </a:solidFill>
              <a:prstDash val="solid"/>
            </a:ln>
          </c:spPr>
          <c:invertIfNegative val="0"/>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Data!$V$12:$V$84</c:f>
              <c:numCache>
                <c:formatCode>0%</c:formatCode>
                <c:ptCount val="73"/>
                <c:pt idx="0">
                  <c:v>0.46511968591602942</c:v>
                </c:pt>
                <c:pt idx="1">
                  <c:v>0.51433915211970072</c:v>
                </c:pt>
                <c:pt idx="2">
                  <c:v>0.43810603589751551</c:v>
                </c:pt>
                <c:pt idx="3">
                  <c:v>0.48038025889967639</c:v>
                </c:pt>
                <c:pt idx="4">
                  <c:v>0.5067615600537837</c:v>
                </c:pt>
                <c:pt idx="5">
                  <c:v>0.41651240281377266</c:v>
                </c:pt>
                <c:pt idx="6">
                  <c:v>0.5366074087767404</c:v>
                </c:pt>
                <c:pt idx="7">
                  <c:v>0.42746462009310043</c:v>
                </c:pt>
                <c:pt idx="8">
                  <c:v>0.58547449720883993</c:v>
                </c:pt>
                <c:pt idx="9">
                  <c:v>0.48520289726383625</c:v>
                </c:pt>
                <c:pt idx="10">
                  <c:v>0.55120678408349644</c:v>
                </c:pt>
                <c:pt idx="11">
                  <c:v>0.56653455172666878</c:v>
                </c:pt>
                <c:pt idx="12">
                  <c:v>0.48281588315167523</c:v>
                </c:pt>
                <c:pt idx="13">
                  <c:v>0.63295491485584265</c:v>
                </c:pt>
                <c:pt idx="14">
                  <c:v>0.38070900639428262</c:v>
                </c:pt>
                <c:pt idx="15">
                  <c:v>0.49696099246492653</c:v>
                </c:pt>
                <c:pt idx="16">
                  <c:v>0.51965230536659113</c:v>
                </c:pt>
                <c:pt idx="17">
                  <c:v>0.56346194391735194</c:v>
                </c:pt>
                <c:pt idx="18">
                  <c:v>0.52102886957191408</c:v>
                </c:pt>
                <c:pt idx="19">
                  <c:v>0.41269755358302668</c:v>
                </c:pt>
                <c:pt idx="20">
                  <c:v>0.47460397284385214</c:v>
                </c:pt>
                <c:pt idx="21">
                  <c:v>0.4601684370726089</c:v>
                </c:pt>
                <c:pt idx="22">
                  <c:v>0.38628142723172421</c:v>
                </c:pt>
                <c:pt idx="23">
                  <c:v>0.75793184488836662</c:v>
                </c:pt>
                <c:pt idx="24">
                  <c:v>0.52150747075159909</c:v>
                </c:pt>
                <c:pt idx="25">
                  <c:v>0.58597795089932925</c:v>
                </c:pt>
                <c:pt idx="26">
                  <c:v>0.40318479070484742</c:v>
                </c:pt>
                <c:pt idx="27">
                  <c:v>0.46163515331775368</c:v>
                </c:pt>
                <c:pt idx="28">
                  <c:v>0.47435897435897434</c:v>
                </c:pt>
                <c:pt idx="29">
                  <c:v>0.47332254173808164</c:v>
                </c:pt>
                <c:pt idx="30">
                  <c:v>0.62957189111404244</c:v>
                </c:pt>
                <c:pt idx="31">
                  <c:v>0.47925641313545975</c:v>
                </c:pt>
                <c:pt idx="32">
                  <c:v>0.44937794937794939</c:v>
                </c:pt>
                <c:pt idx="33">
                  <c:v>0.38202616641284787</c:v>
                </c:pt>
                <c:pt idx="34">
                  <c:v>0.59302865096856516</c:v>
                </c:pt>
                <c:pt idx="35">
                  <c:v>0.61158298317610316</c:v>
                </c:pt>
                <c:pt idx="36">
                  <c:v>0.62729886272354463</c:v>
                </c:pt>
                <c:pt idx="37">
                  <c:v>0.67136056196314442</c:v>
                </c:pt>
                <c:pt idx="38">
                  <c:v>0.60296033108546798</c:v>
                </c:pt>
                <c:pt idx="39">
                  <c:v>0.65939007936990257</c:v>
                </c:pt>
                <c:pt idx="40">
                  <c:v>0.56031549960431148</c:v>
                </c:pt>
                <c:pt idx="41">
                  <c:v>0.64475674433743702</c:v>
                </c:pt>
                <c:pt idx="42">
                  <c:v>0.66735449215551412</c:v>
                </c:pt>
                <c:pt idx="43">
                  <c:v>0.57444963340924604</c:v>
                </c:pt>
                <c:pt idx="44">
                  <c:v>0.55523845763571789</c:v>
                </c:pt>
                <c:pt idx="45">
                  <c:v>0.46557250221043323</c:v>
                </c:pt>
                <c:pt idx="46">
                  <c:v>0.5340080223495266</c:v>
                </c:pt>
                <c:pt idx="47">
                  <c:v>0.55386152440519087</c:v>
                </c:pt>
                <c:pt idx="48">
                  <c:v>0.49963732152401313</c:v>
                </c:pt>
                <c:pt idx="49">
                  <c:v>0.48352025635156787</c:v>
                </c:pt>
                <c:pt idx="50">
                  <c:v>0.46839846119587497</c:v>
                </c:pt>
                <c:pt idx="51">
                  <c:v>0.47769338670498479</c:v>
                </c:pt>
                <c:pt idx="52">
                  <c:v>0.41041657621673255</c:v>
                </c:pt>
                <c:pt idx="53">
                  <c:v>0.51512636045010141</c:v>
                </c:pt>
                <c:pt idx="54">
                  <c:v>0.41390269334871543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ser>
        <c:dLbls>
          <c:showLegendKey val="0"/>
          <c:showVal val="0"/>
          <c:showCatName val="0"/>
          <c:showSerName val="0"/>
          <c:showPercent val="0"/>
          <c:showBubbleSize val="0"/>
        </c:dLbls>
        <c:gapWidth val="150"/>
        <c:axId val="40469632"/>
        <c:axId val="40471552"/>
      </c:barChart>
      <c:lineChart>
        <c:grouping val="standard"/>
        <c:varyColors val="0"/>
        <c:ser>
          <c:idx val="0"/>
          <c:order val="1"/>
          <c:tx>
            <c:v>Power Factor</c:v>
          </c:tx>
          <c:spPr>
            <a:ln w="12700">
              <a:solidFill>
                <a:srgbClr val="000080"/>
              </a:solidFill>
              <a:prstDash val="solid"/>
            </a:ln>
          </c:spPr>
          <c:marker>
            <c:symbol val="diamond"/>
            <c:size val="5"/>
            <c:spPr>
              <a:solidFill>
                <a:srgbClr val="000080"/>
              </a:solidFill>
              <a:ln>
                <a:solidFill>
                  <a:srgbClr val="000080"/>
                </a:solidFill>
                <a:prstDash val="solid"/>
              </a:ln>
            </c:spPr>
          </c:marker>
          <c:val>
            <c:numRef>
              <c:f>Data!$W$12:$W$84</c:f>
              <c:numCache>
                <c:formatCode>0.00%</c:formatCode>
                <c:ptCount val="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0.60495391705069124</c:v>
                </c:pt>
                <c:pt idx="30">
                  <c:v>0.55224799835762683</c:v>
                </c:pt>
                <c:pt idx="31">
                  <c:v>0.61451377295492482</c:v>
                </c:pt>
                <c:pt idx="32">
                  <c:v>0.61542929559615589</c:v>
                </c:pt>
                <c:pt idx="33">
                  <c:v>0.6046059033409017</c:v>
                </c:pt>
                <c:pt idx="34">
                  <c:v>0.64668817042982529</c:v>
                </c:pt>
                <c:pt idx="35">
                  <c:v>0.64345699143905422</c:v>
                </c:pt>
                <c:pt idx="36">
                  <c:v>0.61611757105943143</c:v>
                </c:pt>
                <c:pt idx="37">
                  <c:v>0.63468543046357617</c:v>
                </c:pt>
                <c:pt idx="38">
                  <c:v>0.62905101002761232</c:v>
                </c:pt>
                <c:pt idx="39">
                  <c:v>0.65243388271368341</c:v>
                </c:pt>
                <c:pt idx="40">
                  <c:v>0.6035946952070731</c:v>
                </c:pt>
                <c:pt idx="41">
                  <c:v>0.58273474406264159</c:v>
                </c:pt>
                <c:pt idx="42">
                  <c:v>0.60105126387904562</c:v>
                </c:pt>
                <c:pt idx="43">
                  <c:v>0.63787943565626337</c:v>
                </c:pt>
                <c:pt idx="44">
                  <c:v>0.64646265866378039</c:v>
                </c:pt>
                <c:pt idx="45">
                  <c:v>0.63806943095250268</c:v>
                </c:pt>
                <c:pt idx="46">
                  <c:v>0.62761726078799251</c:v>
                </c:pt>
                <c:pt idx="47">
                  <c:v>0.63245747144796749</c:v>
                </c:pt>
                <c:pt idx="48">
                  <c:v>0.60956538737212485</c:v>
                </c:pt>
                <c:pt idx="49">
                  <c:v>0.64927923911428143</c:v>
                </c:pt>
                <c:pt idx="50">
                  <c:v>0.66058652409780638</c:v>
                </c:pt>
                <c:pt idx="51">
                  <c:v>0.65529997309658328</c:v>
                </c:pt>
                <c:pt idx="52">
                  <c:v>0.65318681318681315</c:v>
                </c:pt>
                <c:pt idx="53">
                  <c:v>0.5968029592443358</c:v>
                </c:pt>
                <c:pt idx="54">
                  <c:v>0.63538537171573717</c:v>
                </c:pt>
                <c:pt idx="55" formatCode="0%">
                  <c:v>0</c:v>
                </c:pt>
                <c:pt idx="56" formatCode="0%">
                  <c:v>0</c:v>
                </c:pt>
                <c:pt idx="57" formatCode="0%">
                  <c:v>0</c:v>
                </c:pt>
                <c:pt idx="58" formatCode="0%">
                  <c:v>0</c:v>
                </c:pt>
                <c:pt idx="59" formatCode="0%">
                  <c:v>0</c:v>
                </c:pt>
                <c:pt idx="60" formatCode="0%">
                  <c:v>0</c:v>
                </c:pt>
                <c:pt idx="61" formatCode="0%">
                  <c:v>0</c:v>
                </c:pt>
                <c:pt idx="62" formatCode="0%">
                  <c:v>0</c:v>
                </c:pt>
                <c:pt idx="63" formatCode="0%">
                  <c:v>0</c:v>
                </c:pt>
                <c:pt idx="64" formatCode="0%">
                  <c:v>0</c:v>
                </c:pt>
                <c:pt idx="65" formatCode="0%">
                  <c:v>0</c:v>
                </c:pt>
                <c:pt idx="66" formatCode="0%">
                  <c:v>0</c:v>
                </c:pt>
                <c:pt idx="67" formatCode="0%">
                  <c:v>0</c:v>
                </c:pt>
                <c:pt idx="68" formatCode="0%">
                  <c:v>0</c:v>
                </c:pt>
                <c:pt idx="69" formatCode="0%">
                  <c:v>0</c:v>
                </c:pt>
                <c:pt idx="70" formatCode="0%">
                  <c:v>0</c:v>
                </c:pt>
                <c:pt idx="71" formatCode="0%">
                  <c:v>0</c:v>
                </c:pt>
                <c:pt idx="72" formatCode="0%">
                  <c:v>0</c:v>
                </c:pt>
              </c:numCache>
            </c:numRef>
          </c:val>
          <c:smooth val="0"/>
        </c:ser>
        <c:dLbls>
          <c:showLegendKey val="0"/>
          <c:showVal val="0"/>
          <c:showCatName val="0"/>
          <c:showSerName val="0"/>
          <c:showPercent val="0"/>
          <c:showBubbleSize val="0"/>
        </c:dLbls>
        <c:marker val="1"/>
        <c:smooth val="0"/>
        <c:axId val="40481920"/>
        <c:axId val="40483456"/>
      </c:lineChart>
      <c:catAx>
        <c:axId val="40469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471552"/>
        <c:crosses val="autoZero"/>
        <c:auto val="0"/>
        <c:lblAlgn val="ctr"/>
        <c:lblOffset val="100"/>
        <c:tickLblSkip val="12"/>
        <c:tickMarkSkip val="12"/>
        <c:noMultiLvlLbl val="0"/>
      </c:catAx>
      <c:valAx>
        <c:axId val="40471552"/>
        <c:scaling>
          <c:orientation val="minMax"/>
          <c:max val="1"/>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Load and Power Factor %</a:t>
                </a:r>
              </a:p>
            </c:rich>
          </c:tx>
          <c:layout>
            <c:manualLayout>
              <c:xMode val="edge"/>
              <c:yMode val="edge"/>
              <c:x val="1.2208657047724751E-2"/>
              <c:y val="0.3849918433931484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469632"/>
        <c:crosses val="autoZero"/>
        <c:crossBetween val="between"/>
      </c:valAx>
      <c:catAx>
        <c:axId val="40481920"/>
        <c:scaling>
          <c:orientation val="minMax"/>
        </c:scaling>
        <c:delete val="1"/>
        <c:axPos val="b"/>
        <c:majorTickMark val="out"/>
        <c:minorTickMark val="none"/>
        <c:tickLblPos val="nextTo"/>
        <c:crossAx val="40483456"/>
        <c:crosses val="autoZero"/>
        <c:auto val="0"/>
        <c:lblAlgn val="ctr"/>
        <c:lblOffset val="100"/>
        <c:noMultiLvlLbl val="0"/>
      </c:catAx>
      <c:valAx>
        <c:axId val="40483456"/>
        <c:scaling>
          <c:orientation val="minMax"/>
        </c:scaling>
        <c:delete val="1"/>
        <c:axPos val="l"/>
        <c:numFmt formatCode="0.00%" sourceLinked="1"/>
        <c:majorTickMark val="out"/>
        <c:minorTickMark val="none"/>
        <c:tickLblPos val="nextTo"/>
        <c:crossAx val="40481920"/>
        <c:crosses val="autoZero"/>
        <c:crossBetween val="between"/>
      </c:valAx>
      <c:spPr>
        <a:noFill/>
        <a:ln w="12700">
          <a:solidFill>
            <a:srgbClr val="000000"/>
          </a:solidFill>
          <a:prstDash val="solid"/>
        </a:ln>
      </c:spPr>
    </c:plotArea>
    <c:legend>
      <c:legendPos val="b"/>
      <c:layout>
        <c:manualLayout>
          <c:xMode val="edge"/>
          <c:yMode val="edge"/>
          <c:x val="0.2685904550499445"/>
          <c:y val="0.9559543230016313"/>
          <c:w val="0.49167591564927859"/>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Electricity vs Outdoor Temperature</a:t>
            </a:r>
          </a:p>
        </c:rich>
      </c:tx>
      <c:layout>
        <c:manualLayout>
          <c:xMode val="edge"/>
          <c:yMode val="edge"/>
          <c:x val="0.2386237513873474"/>
          <c:y val="1.9575856443719411E-2"/>
        </c:manualLayout>
      </c:layout>
      <c:overlay val="0"/>
      <c:spPr>
        <a:noFill/>
        <a:ln w="25400">
          <a:noFill/>
        </a:ln>
      </c:spPr>
    </c:title>
    <c:autoTitleDeleted val="0"/>
    <c:plotArea>
      <c:layout>
        <c:manualLayout>
          <c:layoutTarget val="inner"/>
          <c:xMode val="edge"/>
          <c:yMode val="edge"/>
          <c:x val="8.6570477247502775E-2"/>
          <c:y val="0.15497553017944535"/>
          <c:w val="0.89234184239733627"/>
          <c:h val="0.69331158238172919"/>
        </c:manualLayout>
      </c:layout>
      <c:scatterChart>
        <c:scatterStyle val="lineMarker"/>
        <c:varyColors val="0"/>
        <c:ser>
          <c:idx val="0"/>
          <c:order val="0"/>
          <c:tx>
            <c:strRef>
              <c:f>Data!$B$12</c:f>
              <c:strCache>
                <c:ptCount val="1"/>
                <c:pt idx="0">
                  <c:v>2007</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xVal>
            <c:numRef>
              <c:f>Data!$J$12:$J$83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numCache>
            </c:numRef>
          </c:xVal>
          <c:yVal>
            <c:numRef>
              <c:f>Data!$O$12:$O$23</c:f>
              <c:numCache>
                <c:formatCode>#,##0</c:formatCode>
                <c:ptCount val="12"/>
                <c:pt idx="0">
                  <c:v>6145.1612903225805</c:v>
                </c:pt>
                <c:pt idx="1">
                  <c:v>7425</c:v>
                </c:pt>
                <c:pt idx="2">
                  <c:v>6551.6129032258068</c:v>
                </c:pt>
                <c:pt idx="3">
                  <c:v>8550</c:v>
                </c:pt>
                <c:pt idx="4">
                  <c:v>9658.0645161290322</c:v>
                </c:pt>
                <c:pt idx="5">
                  <c:v>8100</c:v>
                </c:pt>
                <c:pt idx="6">
                  <c:v>8090.322580645161</c:v>
                </c:pt>
                <c:pt idx="7">
                  <c:v>11332.258064516129</c:v>
                </c:pt>
                <c:pt idx="8">
                  <c:v>12250</c:v>
                </c:pt>
                <c:pt idx="9">
                  <c:v>8883.8709677419356</c:v>
                </c:pt>
                <c:pt idx="10">
                  <c:v>10140</c:v>
                </c:pt>
                <c:pt idx="11">
                  <c:v>9561.2903225806458</c:v>
                </c:pt>
              </c:numCache>
            </c:numRef>
          </c:yVal>
          <c:smooth val="0"/>
        </c:ser>
        <c:ser>
          <c:idx val="1"/>
          <c:order val="1"/>
          <c:tx>
            <c:strRef>
              <c:f>Data!$B$24</c:f>
              <c:strCache>
                <c:ptCount val="1"/>
                <c:pt idx="0">
                  <c:v>2008</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trendline>
            <c:spPr>
              <a:ln w="28575">
                <a:solidFill>
                  <a:schemeClr val="accent2"/>
                </a:solidFill>
              </a:ln>
            </c:spPr>
            <c:trendlineType val="linear"/>
            <c:dispRSqr val="0"/>
            <c:dispEq val="0"/>
          </c:trendline>
          <c:xVal>
            <c:numRef>
              <c:f>Data!$J$12:$J$83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numCache>
            </c:numRef>
          </c:xVal>
          <c:yVal>
            <c:numRef>
              <c:f>Data!$O$24:$O$35</c:f>
              <c:numCache>
                <c:formatCode>#,##0</c:formatCode>
                <c:ptCount val="12"/>
                <c:pt idx="0">
                  <c:v>8148.3870967741932</c:v>
                </c:pt>
                <c:pt idx="1">
                  <c:v>12568.965517241379</c:v>
                </c:pt>
                <c:pt idx="2">
                  <c:v>9048.3870967741932</c:v>
                </c:pt>
                <c:pt idx="3">
                  <c:v>9550</c:v>
                </c:pt>
                <c:pt idx="4">
                  <c:v>9900</c:v>
                </c:pt>
                <c:pt idx="5">
                  <c:v>10690</c:v>
                </c:pt>
                <c:pt idx="6">
                  <c:v>12570.967741935483</c:v>
                </c:pt>
                <c:pt idx="7">
                  <c:v>12396.774193548386</c:v>
                </c:pt>
                <c:pt idx="8">
                  <c:v>13590</c:v>
                </c:pt>
                <c:pt idx="9">
                  <c:v>10393.548387096775</c:v>
                </c:pt>
                <c:pt idx="10">
                  <c:v>8897.1428571428569</c:v>
                </c:pt>
                <c:pt idx="11">
                  <c:v>13932</c:v>
                </c:pt>
              </c:numCache>
            </c:numRef>
          </c:yVal>
          <c:smooth val="0"/>
        </c:ser>
        <c:ser>
          <c:idx val="2"/>
          <c:order val="2"/>
          <c:tx>
            <c:strRef>
              <c:f>Data!$B$36</c:f>
              <c:strCache>
                <c:ptCount val="1"/>
                <c:pt idx="0">
                  <c:v>2009</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trendline>
            <c:spPr>
              <a:ln w="28575">
                <a:solidFill>
                  <a:srgbClr val="008000"/>
                </a:solidFill>
                <a:prstDash val="solid"/>
              </a:ln>
            </c:spPr>
            <c:trendlineType val="linear"/>
            <c:dispRSqr val="0"/>
            <c:dispEq val="0"/>
          </c:trendline>
          <c:xVal>
            <c:numRef>
              <c:f>Data!$J$12:$J$83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numCache>
            </c:numRef>
          </c:xVal>
          <c:yVal>
            <c:numRef>
              <c:f>Data!$O$36:$O$47</c:f>
              <c:numCache>
                <c:formatCode>#,##0</c:formatCode>
                <c:ptCount val="12"/>
                <c:pt idx="0">
                  <c:v>9638.7096774193542</c:v>
                </c:pt>
                <c:pt idx="1">
                  <c:v>12610.714285714286</c:v>
                </c:pt>
                <c:pt idx="2">
                  <c:v>9512.9032258064508</c:v>
                </c:pt>
                <c:pt idx="3">
                  <c:v>10430</c:v>
                </c:pt>
                <c:pt idx="4">
                  <c:v>11100</c:v>
                </c:pt>
                <c:pt idx="5">
                  <c:v>11930</c:v>
                </c:pt>
                <c:pt idx="6">
                  <c:v>12193.548387096775</c:v>
                </c:pt>
                <c:pt idx="7">
                  <c:v>13548.387096774193</c:v>
                </c:pt>
                <c:pt idx="8">
                  <c:v>12570</c:v>
                </c:pt>
                <c:pt idx="9">
                  <c:v>8545.1612903225814</c:v>
                </c:pt>
                <c:pt idx="10">
                  <c:v>12270</c:v>
                </c:pt>
                <c:pt idx="11">
                  <c:v>11583.870967741936</c:v>
                </c:pt>
              </c:numCache>
            </c:numRef>
          </c:yVal>
          <c:smooth val="0"/>
        </c:ser>
        <c:ser>
          <c:idx val="3"/>
          <c:order val="3"/>
          <c:tx>
            <c:strRef>
              <c:f>Data!$B$48</c:f>
              <c:strCache>
                <c:ptCount val="1"/>
                <c:pt idx="0">
                  <c:v>2010</c:v>
                </c:pt>
              </c:strCache>
            </c:strRef>
          </c:tx>
          <c:spPr>
            <a:ln w="12700">
              <a:solidFill>
                <a:srgbClr val="00FFFF"/>
              </a:solidFill>
              <a:prstDash val="solid"/>
            </a:ln>
          </c:spPr>
          <c:marker>
            <c:symbol val="x"/>
            <c:size val="5"/>
            <c:spPr>
              <a:noFill/>
              <a:ln>
                <a:solidFill>
                  <a:srgbClr val="00FFFF"/>
                </a:solidFill>
                <a:prstDash val="solid"/>
              </a:ln>
            </c:spPr>
          </c:marker>
          <c:trendline>
            <c:spPr>
              <a:ln w="28575"/>
            </c:spPr>
            <c:trendlineType val="linear"/>
            <c:dispRSqr val="0"/>
            <c:dispEq val="0"/>
          </c:trendline>
          <c:xVal>
            <c:numRef>
              <c:f>Data!$J$12:$J$83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numCache>
            </c:numRef>
          </c:xVal>
          <c:yVal>
            <c:numRef>
              <c:f>Data!$O$48:$O$59</c:f>
              <c:numCache>
                <c:formatCode>#,##0</c:formatCode>
                <c:ptCount val="12"/>
                <c:pt idx="0">
                  <c:v>11487.096774193549</c:v>
                </c:pt>
                <c:pt idx="1">
                  <c:v>12353.571428571429</c:v>
                </c:pt>
                <c:pt idx="2">
                  <c:v>12527.586206896553</c:v>
                </c:pt>
                <c:pt idx="3">
                  <c:v>13468.965517241379</c:v>
                </c:pt>
                <c:pt idx="4">
                  <c:v>13954.545454545454</c:v>
                </c:pt>
                <c:pt idx="5">
                  <c:v>13934.48275862069</c:v>
                </c:pt>
                <c:pt idx="6">
                  <c:v>16300</c:v>
                </c:pt>
                <c:pt idx="7">
                  <c:v>18512.903225806451</c:v>
                </c:pt>
                <c:pt idx="8">
                  <c:v>17510</c:v>
                </c:pt>
                <c:pt idx="9">
                  <c:v>13944.827586206897</c:v>
                </c:pt>
                <c:pt idx="10">
                  <c:v>10718.181818181818</c:v>
                </c:pt>
                <c:pt idx="11">
                  <c:v>10526.470588235294</c:v>
                </c:pt>
              </c:numCache>
            </c:numRef>
          </c:yVal>
          <c:smooth val="0"/>
        </c:ser>
        <c:ser>
          <c:idx val="4"/>
          <c:order val="4"/>
          <c:tx>
            <c:strRef>
              <c:f>Data!$B$60</c:f>
              <c:strCache>
                <c:ptCount val="1"/>
                <c:pt idx="0">
                  <c:v>2011</c:v>
                </c:pt>
              </c:strCache>
            </c:strRef>
          </c:tx>
          <c:spPr>
            <a:ln w="12700">
              <a:solidFill>
                <a:schemeClr val="tx2"/>
              </a:solidFill>
            </a:ln>
          </c:spPr>
          <c:marker>
            <c:symbol val="star"/>
            <c:size val="5"/>
          </c:marker>
          <c:xVal>
            <c:numRef>
              <c:f>Data!$J$60:$J$71</c:f>
              <c:numCache>
                <c:formatCode>General</c:formatCode>
                <c:ptCount val="12"/>
                <c:pt idx="0">
                  <c:v>32</c:v>
                </c:pt>
                <c:pt idx="1">
                  <c:v>35</c:v>
                </c:pt>
                <c:pt idx="2">
                  <c:v>49</c:v>
                </c:pt>
                <c:pt idx="3">
                  <c:v>60</c:v>
                </c:pt>
                <c:pt idx="4">
                  <c:v>66</c:v>
                </c:pt>
                <c:pt idx="5">
                  <c:v>81</c:v>
                </c:pt>
                <c:pt idx="6">
                  <c:v>87</c:v>
                </c:pt>
                <c:pt idx="7">
                  <c:v>84</c:v>
                </c:pt>
              </c:numCache>
            </c:numRef>
          </c:xVal>
          <c:yVal>
            <c:numRef>
              <c:f>Data!$O$60:$O$71</c:f>
              <c:numCache>
                <c:formatCode>#,##0</c:formatCode>
                <c:ptCount val="12"/>
                <c:pt idx="0">
                  <c:v>11217.857142857143</c:v>
                </c:pt>
                <c:pt idx="1">
                  <c:v>10140</c:v>
                </c:pt>
                <c:pt idx="2">
                  <c:v>9445.1612903225814</c:v>
                </c:pt>
                <c:pt idx="3">
                  <c:v>11170</c:v>
                </c:pt>
                <c:pt idx="4">
                  <c:v>11709.677419354839</c:v>
                </c:pt>
                <c:pt idx="5">
                  <c:v>11170</c:v>
                </c:pt>
                <c:pt idx="6">
                  <c:v>11554.838709677419</c:v>
                </c:pt>
                <c:pt idx="7">
                  <c:v>0</c:v>
                </c:pt>
                <c:pt idx="8">
                  <c:v>0</c:v>
                </c:pt>
                <c:pt idx="9">
                  <c:v>0</c:v>
                </c:pt>
                <c:pt idx="10">
                  <c:v>0</c:v>
                </c:pt>
                <c:pt idx="11">
                  <c:v>0</c:v>
                </c:pt>
              </c:numCache>
            </c:numRef>
          </c:yVal>
          <c:smooth val="0"/>
        </c:ser>
        <c:dLbls>
          <c:showLegendKey val="0"/>
          <c:showVal val="0"/>
          <c:showCatName val="0"/>
          <c:showSerName val="0"/>
          <c:showPercent val="0"/>
          <c:showBubbleSize val="0"/>
        </c:dLbls>
        <c:axId val="40395520"/>
        <c:axId val="40397440"/>
      </c:scatterChart>
      <c:valAx>
        <c:axId val="40395520"/>
        <c:scaling>
          <c:orientation val="minMax"/>
          <c:min val="30"/>
        </c:scaling>
        <c:delete val="0"/>
        <c:axPos val="b"/>
        <c:title>
          <c:tx>
            <c:rich>
              <a:bodyPr/>
              <a:lstStyle/>
              <a:p>
                <a:pPr>
                  <a:defRPr sz="1000" b="1" i="0" u="none" strike="noStrike" baseline="0">
                    <a:solidFill>
                      <a:srgbClr val="000000"/>
                    </a:solidFill>
                    <a:latin typeface="Arial"/>
                    <a:ea typeface="Arial"/>
                    <a:cs typeface="Arial"/>
                  </a:defRPr>
                </a:pPr>
                <a:r>
                  <a:rPr lang="en-US"/>
                  <a:t>Average Outdoor Temperature</a:t>
                </a:r>
              </a:p>
            </c:rich>
          </c:tx>
          <c:layout>
            <c:manualLayout>
              <c:xMode val="edge"/>
              <c:yMode val="edge"/>
              <c:x val="0.42286348501664817"/>
              <c:y val="0.898858075040783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397440"/>
        <c:crosses val="autoZero"/>
        <c:crossBetween val="midCat"/>
      </c:valAx>
      <c:valAx>
        <c:axId val="403974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Average kWh/Day</a:t>
                </a:r>
              </a:p>
            </c:rich>
          </c:tx>
          <c:layout>
            <c:manualLayout>
              <c:xMode val="edge"/>
              <c:yMode val="edge"/>
              <c:x val="1.2208657047724751E-2"/>
              <c:y val="0.406199021207177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395520"/>
        <c:crosses val="autoZero"/>
        <c:crossBetween val="midCat"/>
      </c:valAx>
      <c:spPr>
        <a:noFill/>
        <a:ln w="12700">
          <a:solidFill>
            <a:srgbClr val="808080"/>
          </a:solidFill>
          <a:prstDash val="solid"/>
        </a:ln>
      </c:spPr>
    </c:plotArea>
    <c:legend>
      <c:legendPos val="b"/>
      <c:layout>
        <c:manualLayout>
          <c:xMode val="edge"/>
          <c:yMode val="edge"/>
          <c:x val="0.14539400665926749"/>
          <c:y val="0.9559543230016313"/>
          <c:w val="0.85460599334073251"/>
          <c:h val="3.518687407140991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Natural Gas Consumption</a:t>
            </a:r>
          </a:p>
        </c:rich>
      </c:tx>
      <c:layout>
        <c:manualLayout>
          <c:xMode val="edge"/>
          <c:yMode val="edge"/>
          <c:x val="0.30521642619311878"/>
          <c:y val="1.9575856443719411E-2"/>
        </c:manualLayout>
      </c:layout>
      <c:overlay val="0"/>
      <c:spPr>
        <a:noFill/>
        <a:ln w="25400">
          <a:noFill/>
        </a:ln>
      </c:spPr>
    </c:title>
    <c:autoTitleDeleted val="0"/>
    <c:plotArea>
      <c:layout>
        <c:manualLayout>
          <c:layoutTarget val="inner"/>
          <c:xMode val="edge"/>
          <c:yMode val="edge"/>
          <c:x val="8.4350721420643732E-2"/>
          <c:y val="0.15497553017944535"/>
          <c:w val="0.82241953385127631"/>
          <c:h val="0.67210440456769982"/>
        </c:manualLayout>
      </c:layout>
      <c:lineChart>
        <c:grouping val="standard"/>
        <c:varyColors val="0"/>
        <c:ser>
          <c:idx val="0"/>
          <c:order val="0"/>
          <c:tx>
            <c:v>Monthly Therms</c:v>
          </c:tx>
          <c:spPr>
            <a:ln w="12700">
              <a:solidFill>
                <a:srgbClr val="008000"/>
              </a:solidFill>
              <a:prstDash val="solid"/>
            </a:ln>
          </c:spPr>
          <c:marker>
            <c:symbol val="diamond"/>
            <c:size val="5"/>
            <c:spPr>
              <a:solidFill>
                <a:srgbClr val="008000"/>
              </a:solidFill>
              <a:ln>
                <a:solidFill>
                  <a:srgbClr val="008000"/>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Data!$AC$12:$AC$84</c:f>
              <c:numCache>
                <c:formatCode>General</c:formatCode>
                <c:ptCount val="73"/>
                <c:pt idx="9">
                  <c:v>2630</c:v>
                </c:pt>
                <c:pt idx="10">
                  <c:v>14250</c:v>
                </c:pt>
                <c:pt idx="11">
                  <c:v>28350</c:v>
                </c:pt>
                <c:pt idx="12">
                  <c:v>33280</c:v>
                </c:pt>
                <c:pt idx="13">
                  <c:v>29140</c:v>
                </c:pt>
                <c:pt idx="14">
                  <c:v>19360</c:v>
                </c:pt>
                <c:pt idx="15">
                  <c:v>13490</c:v>
                </c:pt>
                <c:pt idx="16">
                  <c:v>8260</c:v>
                </c:pt>
                <c:pt idx="17">
                  <c:v>5720</c:v>
                </c:pt>
                <c:pt idx="18">
                  <c:v>5270</c:v>
                </c:pt>
                <c:pt idx="19">
                  <c:v>6710</c:v>
                </c:pt>
                <c:pt idx="20">
                  <c:v>7030</c:v>
                </c:pt>
                <c:pt idx="21">
                  <c:v>13230</c:v>
                </c:pt>
                <c:pt idx="22">
                  <c:v>24120</c:v>
                </c:pt>
                <c:pt idx="23">
                  <c:v>34030</c:v>
                </c:pt>
                <c:pt idx="24">
                  <c:v>32440</c:v>
                </c:pt>
                <c:pt idx="25">
                  <c:v>24140</c:v>
                </c:pt>
                <c:pt idx="26">
                  <c:v>17400</c:v>
                </c:pt>
                <c:pt idx="27">
                  <c:v>11940</c:v>
                </c:pt>
                <c:pt idx="28">
                  <c:v>7210</c:v>
                </c:pt>
                <c:pt idx="29">
                  <c:v>6350</c:v>
                </c:pt>
                <c:pt idx="30">
                  <c:v>5830</c:v>
                </c:pt>
                <c:pt idx="31">
                  <c:v>10200</c:v>
                </c:pt>
                <c:pt idx="32">
                  <c:v>9890</c:v>
                </c:pt>
                <c:pt idx="33">
                  <c:v>15640</c:v>
                </c:pt>
                <c:pt idx="34">
                  <c:v>15490</c:v>
                </c:pt>
                <c:pt idx="35">
                  <c:v>36650</c:v>
                </c:pt>
                <c:pt idx="36">
                  <c:v>37760</c:v>
                </c:pt>
                <c:pt idx="37">
                  <c:v>36360</c:v>
                </c:pt>
                <c:pt idx="38" formatCode="#,##0">
                  <c:v>27780</c:v>
                </c:pt>
                <c:pt idx="39" formatCode="#,##0">
                  <c:v>19970</c:v>
                </c:pt>
                <c:pt idx="40" formatCode="#,##0">
                  <c:v>17510</c:v>
                </c:pt>
                <c:pt idx="41" formatCode="#,##0">
                  <c:v>8510</c:v>
                </c:pt>
                <c:pt idx="42" formatCode="#,##0">
                  <c:v>15100</c:v>
                </c:pt>
                <c:pt idx="43" formatCode="#,##0">
                  <c:v>13250</c:v>
                </c:pt>
                <c:pt idx="44" formatCode="#,##0">
                  <c:v>13220</c:v>
                </c:pt>
                <c:pt idx="45" formatCode="#,##0">
                  <c:v>18370</c:v>
                </c:pt>
                <c:pt idx="46" formatCode="#,##0">
                  <c:v>18570</c:v>
                </c:pt>
                <c:pt idx="47" formatCode="#,##0">
                  <c:v>34380</c:v>
                </c:pt>
                <c:pt idx="48" formatCode="#,##0">
                  <c:v>36850</c:v>
                </c:pt>
                <c:pt idx="49" formatCode="#,##0">
                  <c:v>27110</c:v>
                </c:pt>
                <c:pt idx="50">
                  <c:v>19690</c:v>
                </c:pt>
                <c:pt idx="51">
                  <c:v>10480</c:v>
                </c:pt>
                <c:pt idx="52">
                  <c:v>13260</c:v>
                </c:pt>
                <c:pt idx="53">
                  <c:v>6400</c:v>
                </c:pt>
                <c:pt idx="54">
                  <c:v>4400</c:v>
                </c:pt>
              </c:numCache>
            </c:numRef>
          </c:val>
          <c:smooth val="0"/>
        </c:ser>
        <c:ser>
          <c:idx val="3"/>
          <c:order val="2"/>
          <c:tx>
            <c:v>Monthly Degree Days</c:v>
          </c:tx>
          <c:spPr>
            <a:ln w="12700">
              <a:solidFill>
                <a:srgbClr val="FF0000"/>
              </a:solidFill>
              <a:prstDash val="solid"/>
            </a:ln>
          </c:spPr>
          <c:marker>
            <c:symbol val="x"/>
            <c:size val="5"/>
            <c:spPr>
              <a:noFill/>
              <a:ln>
                <a:solidFill>
                  <a:srgbClr val="FF0000"/>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Data!$AE$12:$AE$84</c:f>
              <c:numCache>
                <c:formatCode>General</c:formatCode>
                <c:ptCount val="73"/>
                <c:pt idx="0">
                  <c:v>801</c:v>
                </c:pt>
                <c:pt idx="1">
                  <c:v>636</c:v>
                </c:pt>
                <c:pt idx="2">
                  <c:v>150</c:v>
                </c:pt>
                <c:pt idx="3">
                  <c:v>205</c:v>
                </c:pt>
                <c:pt idx="4">
                  <c:v>0</c:v>
                </c:pt>
                <c:pt idx="5">
                  <c:v>0</c:v>
                </c:pt>
                <c:pt idx="6">
                  <c:v>0</c:v>
                </c:pt>
                <c:pt idx="7">
                  <c:v>0</c:v>
                </c:pt>
                <c:pt idx="8">
                  <c:v>0</c:v>
                </c:pt>
                <c:pt idx="9">
                  <c:v>77</c:v>
                </c:pt>
                <c:pt idx="10">
                  <c:v>349</c:v>
                </c:pt>
                <c:pt idx="11">
                  <c:v>745</c:v>
                </c:pt>
                <c:pt idx="12">
                  <c:v>762</c:v>
                </c:pt>
                <c:pt idx="13">
                  <c:v>652</c:v>
                </c:pt>
                <c:pt idx="14">
                  <c:v>361</c:v>
                </c:pt>
                <c:pt idx="15">
                  <c:v>160</c:v>
                </c:pt>
                <c:pt idx="16">
                  <c:v>19</c:v>
                </c:pt>
                <c:pt idx="17">
                  <c:v>0</c:v>
                </c:pt>
                <c:pt idx="18">
                  <c:v>0</c:v>
                </c:pt>
                <c:pt idx="19">
                  <c:v>0</c:v>
                </c:pt>
                <c:pt idx="20">
                  <c:v>0</c:v>
                </c:pt>
                <c:pt idx="21">
                  <c:v>111</c:v>
                </c:pt>
                <c:pt idx="22">
                  <c:v>387</c:v>
                </c:pt>
                <c:pt idx="23">
                  <c:v>713</c:v>
                </c:pt>
                <c:pt idx="24">
                  <c:v>808</c:v>
                </c:pt>
                <c:pt idx="25">
                  <c:v>452</c:v>
                </c:pt>
                <c:pt idx="26">
                  <c:v>321</c:v>
                </c:pt>
                <c:pt idx="27">
                  <c:v>157</c:v>
                </c:pt>
                <c:pt idx="28">
                  <c:v>20</c:v>
                </c:pt>
                <c:pt idx="29">
                  <c:v>0</c:v>
                </c:pt>
                <c:pt idx="30">
                  <c:v>0</c:v>
                </c:pt>
                <c:pt idx="31">
                  <c:v>0</c:v>
                </c:pt>
                <c:pt idx="32">
                  <c:v>5</c:v>
                </c:pt>
                <c:pt idx="33">
                  <c:v>209</c:v>
                </c:pt>
                <c:pt idx="34">
                  <c:v>238</c:v>
                </c:pt>
                <c:pt idx="35">
                  <c:v>840</c:v>
                </c:pt>
                <c:pt idx="36">
                  <c:v>902</c:v>
                </c:pt>
                <c:pt idx="37">
                  <c:v>700</c:v>
                </c:pt>
                <c:pt idx="38">
                  <c:v>346</c:v>
                </c:pt>
                <c:pt idx="39">
                  <c:v>50</c:v>
                </c:pt>
                <c:pt idx="40">
                  <c:v>15</c:v>
                </c:pt>
                <c:pt idx="41">
                  <c:v>0</c:v>
                </c:pt>
                <c:pt idx="42">
                  <c:v>0</c:v>
                </c:pt>
                <c:pt idx="43">
                  <c:v>0</c:v>
                </c:pt>
                <c:pt idx="44">
                  <c:v>6</c:v>
                </c:pt>
                <c:pt idx="45">
                  <c:v>63</c:v>
                </c:pt>
                <c:pt idx="46">
                  <c:v>319</c:v>
                </c:pt>
                <c:pt idx="47">
                  <c:v>724</c:v>
                </c:pt>
                <c:pt idx="48">
                  <c:v>854</c:v>
                </c:pt>
                <c:pt idx="49">
                  <c:v>708</c:v>
                </c:pt>
                <c:pt idx="50">
                  <c:v>361</c:v>
                </c:pt>
                <c:pt idx="51">
                  <c:v>85</c:v>
                </c:pt>
                <c:pt idx="52">
                  <c:v>53</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smooth val="0"/>
        </c:ser>
        <c:ser>
          <c:idx val="2"/>
          <c:order val="3"/>
          <c:tx>
            <c:v>Annual Degree Days</c:v>
          </c:tx>
          <c:spPr>
            <a:ln w="12700">
              <a:solidFill>
                <a:srgbClr val="FF00FF"/>
              </a:solidFill>
              <a:prstDash val="solid"/>
            </a:ln>
          </c:spPr>
          <c:marker>
            <c:symbol val="triangle"/>
            <c:size val="5"/>
            <c:spPr>
              <a:solidFill>
                <a:srgbClr val="FF00FF"/>
              </a:solidFill>
              <a:ln>
                <a:solidFill>
                  <a:srgbClr val="FF00FF"/>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Data!$AR$12:$AR$84</c:f>
              <c:numCache>
                <c:formatCode>General</c:formatCode>
                <c:ptCount val="73"/>
                <c:pt idx="11">
                  <c:v>2963</c:v>
                </c:pt>
                <c:pt idx="12">
                  <c:v>2924</c:v>
                </c:pt>
                <c:pt idx="13">
                  <c:v>2940</c:v>
                </c:pt>
                <c:pt idx="14">
                  <c:v>3151</c:v>
                </c:pt>
                <c:pt idx="15">
                  <c:v>3106</c:v>
                </c:pt>
                <c:pt idx="16">
                  <c:v>3125</c:v>
                </c:pt>
                <c:pt idx="17">
                  <c:v>3125</c:v>
                </c:pt>
                <c:pt idx="18">
                  <c:v>3125</c:v>
                </c:pt>
                <c:pt idx="19">
                  <c:v>3125</c:v>
                </c:pt>
                <c:pt idx="20">
                  <c:v>3125</c:v>
                </c:pt>
                <c:pt idx="21">
                  <c:v>3159</c:v>
                </c:pt>
                <c:pt idx="22">
                  <c:v>3197</c:v>
                </c:pt>
                <c:pt idx="23">
                  <c:v>3165</c:v>
                </c:pt>
                <c:pt idx="24">
                  <c:v>3211</c:v>
                </c:pt>
                <c:pt idx="25">
                  <c:v>3011</c:v>
                </c:pt>
                <c:pt idx="26">
                  <c:v>2971</c:v>
                </c:pt>
                <c:pt idx="27">
                  <c:v>2968</c:v>
                </c:pt>
                <c:pt idx="28">
                  <c:v>2969</c:v>
                </c:pt>
                <c:pt idx="29">
                  <c:v>2969</c:v>
                </c:pt>
                <c:pt idx="30">
                  <c:v>2969</c:v>
                </c:pt>
                <c:pt idx="31">
                  <c:v>2969</c:v>
                </c:pt>
                <c:pt idx="32">
                  <c:v>2974</c:v>
                </c:pt>
                <c:pt idx="33">
                  <c:v>3072</c:v>
                </c:pt>
                <c:pt idx="34">
                  <c:v>2923</c:v>
                </c:pt>
                <c:pt idx="35">
                  <c:v>3050</c:v>
                </c:pt>
                <c:pt idx="36">
                  <c:v>3144</c:v>
                </c:pt>
                <c:pt idx="37">
                  <c:v>3392</c:v>
                </c:pt>
                <c:pt idx="38">
                  <c:v>3417</c:v>
                </c:pt>
                <c:pt idx="39">
                  <c:v>3310</c:v>
                </c:pt>
                <c:pt idx="40">
                  <c:v>3305</c:v>
                </c:pt>
                <c:pt idx="41">
                  <c:v>3305</c:v>
                </c:pt>
                <c:pt idx="42">
                  <c:v>3305</c:v>
                </c:pt>
                <c:pt idx="43">
                  <c:v>3305</c:v>
                </c:pt>
                <c:pt idx="44">
                  <c:v>3306</c:v>
                </c:pt>
                <c:pt idx="45">
                  <c:v>3160</c:v>
                </c:pt>
                <c:pt idx="46">
                  <c:v>3241</c:v>
                </c:pt>
                <c:pt idx="47">
                  <c:v>3125</c:v>
                </c:pt>
                <c:pt idx="48">
                  <c:v>3077</c:v>
                </c:pt>
                <c:pt idx="49">
                  <c:v>3085</c:v>
                </c:pt>
                <c:pt idx="50">
                  <c:v>3100</c:v>
                </c:pt>
                <c:pt idx="51">
                  <c:v>3135</c:v>
                </c:pt>
                <c:pt idx="52">
                  <c:v>3173</c:v>
                </c:pt>
                <c:pt idx="53">
                  <c:v>3173</c:v>
                </c:pt>
                <c:pt idx="54">
                  <c:v>3173</c:v>
                </c:pt>
                <c:pt idx="55">
                  <c:v>3173</c:v>
                </c:pt>
                <c:pt idx="56">
                  <c:v>3167</c:v>
                </c:pt>
                <c:pt idx="57">
                  <c:v>3104</c:v>
                </c:pt>
                <c:pt idx="58">
                  <c:v>2785</c:v>
                </c:pt>
                <c:pt idx="59">
                  <c:v>2061</c:v>
                </c:pt>
                <c:pt idx="60">
                  <c:v>1207</c:v>
                </c:pt>
                <c:pt idx="61">
                  <c:v>499</c:v>
                </c:pt>
                <c:pt idx="62">
                  <c:v>138</c:v>
                </c:pt>
                <c:pt idx="63">
                  <c:v>53</c:v>
                </c:pt>
                <c:pt idx="64">
                  <c:v>0</c:v>
                </c:pt>
                <c:pt idx="65">
                  <c:v>0</c:v>
                </c:pt>
                <c:pt idx="66">
                  <c:v>0</c:v>
                </c:pt>
                <c:pt idx="67">
                  <c:v>0</c:v>
                </c:pt>
                <c:pt idx="68">
                  <c:v>0</c:v>
                </c:pt>
                <c:pt idx="69">
                  <c:v>0</c:v>
                </c:pt>
                <c:pt idx="70">
                  <c:v>0</c:v>
                </c:pt>
                <c:pt idx="71">
                  <c:v>0</c:v>
                </c:pt>
                <c:pt idx="72">
                  <c:v>0</c:v>
                </c:pt>
              </c:numCache>
            </c:numRef>
          </c:val>
          <c:smooth val="0"/>
        </c:ser>
        <c:dLbls>
          <c:showLegendKey val="0"/>
          <c:showVal val="0"/>
          <c:showCatName val="0"/>
          <c:showSerName val="0"/>
          <c:showPercent val="0"/>
          <c:showBubbleSize val="0"/>
        </c:dLbls>
        <c:marker val="1"/>
        <c:smooth val="0"/>
        <c:axId val="45110784"/>
        <c:axId val="45112704"/>
      </c:lineChart>
      <c:lineChart>
        <c:grouping val="standard"/>
        <c:varyColors val="0"/>
        <c:ser>
          <c:idx val="1"/>
          <c:order val="1"/>
          <c:tx>
            <c:v>Annual Therms</c:v>
          </c:tx>
          <c:spPr>
            <a:ln w="12700">
              <a:solidFill>
                <a:srgbClr val="0000FF"/>
              </a:solidFill>
              <a:prstDash val="solid"/>
            </a:ln>
          </c:spPr>
          <c:marker>
            <c:symbol val="square"/>
            <c:size val="5"/>
            <c:spPr>
              <a:solidFill>
                <a:srgbClr val="0000FF"/>
              </a:solidFill>
              <a:ln>
                <a:solidFill>
                  <a:srgbClr val="0000FF"/>
                </a:solidFill>
                <a:prstDash val="solid"/>
              </a:ln>
            </c:spPr>
          </c:marker>
          <c:cat>
            <c:strRef>
              <c:f>Data!$A$12:$A$84</c:f>
              <c:strCache>
                <c:ptCount val="73"/>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pt idx="67">
                  <c:v>AUG</c:v>
                </c:pt>
                <c:pt idx="68">
                  <c:v>SEP</c:v>
                </c:pt>
                <c:pt idx="69">
                  <c:v>OCT</c:v>
                </c:pt>
                <c:pt idx="70">
                  <c:v>NOV</c:v>
                </c:pt>
                <c:pt idx="71">
                  <c:v>DEC</c:v>
                </c:pt>
                <c:pt idx="72">
                  <c:v>JAN 13</c:v>
                </c:pt>
              </c:strCache>
            </c:strRef>
          </c:cat>
          <c:val>
            <c:numRef>
              <c:f>Data!$AG$12:$AG$84</c:f>
              <c:numCache>
                <c:formatCode>#,##0</c:formatCode>
                <c:ptCount val="73"/>
                <c:pt idx="11">
                  <c:v>45230</c:v>
                </c:pt>
                <c:pt idx="12">
                  <c:v>78510</c:v>
                </c:pt>
                <c:pt idx="13">
                  <c:v>107650</c:v>
                </c:pt>
                <c:pt idx="14">
                  <c:v>127010</c:v>
                </c:pt>
                <c:pt idx="15">
                  <c:v>140500</c:v>
                </c:pt>
                <c:pt idx="16">
                  <c:v>148760</c:v>
                </c:pt>
                <c:pt idx="17">
                  <c:v>154480</c:v>
                </c:pt>
                <c:pt idx="18">
                  <c:v>159750</c:v>
                </c:pt>
                <c:pt idx="19">
                  <c:v>166460</c:v>
                </c:pt>
                <c:pt idx="20">
                  <c:v>173490</c:v>
                </c:pt>
                <c:pt idx="21">
                  <c:v>184090</c:v>
                </c:pt>
                <c:pt idx="22">
                  <c:v>193960</c:v>
                </c:pt>
                <c:pt idx="23">
                  <c:v>199640</c:v>
                </c:pt>
                <c:pt idx="24">
                  <c:v>198800</c:v>
                </c:pt>
                <c:pt idx="25">
                  <c:v>193800</c:v>
                </c:pt>
                <c:pt idx="26">
                  <c:v>191840</c:v>
                </c:pt>
                <c:pt idx="27">
                  <c:v>190290</c:v>
                </c:pt>
                <c:pt idx="28">
                  <c:v>189240</c:v>
                </c:pt>
                <c:pt idx="29">
                  <c:v>189870</c:v>
                </c:pt>
                <c:pt idx="30">
                  <c:v>190430</c:v>
                </c:pt>
                <c:pt idx="31">
                  <c:v>193920</c:v>
                </c:pt>
                <c:pt idx="32">
                  <c:v>196780</c:v>
                </c:pt>
                <c:pt idx="33">
                  <c:v>199190</c:v>
                </c:pt>
                <c:pt idx="34">
                  <c:v>190560</c:v>
                </c:pt>
                <c:pt idx="35">
                  <c:v>193180</c:v>
                </c:pt>
                <c:pt idx="36">
                  <c:v>198500</c:v>
                </c:pt>
                <c:pt idx="37">
                  <c:v>210720</c:v>
                </c:pt>
                <c:pt idx="38">
                  <c:v>221100</c:v>
                </c:pt>
                <c:pt idx="39">
                  <c:v>229130</c:v>
                </c:pt>
                <c:pt idx="40">
                  <c:v>239430</c:v>
                </c:pt>
                <c:pt idx="41">
                  <c:v>241590</c:v>
                </c:pt>
                <c:pt idx="42">
                  <c:v>250860</c:v>
                </c:pt>
                <c:pt idx="43">
                  <c:v>253910</c:v>
                </c:pt>
                <c:pt idx="44">
                  <c:v>257240</c:v>
                </c:pt>
                <c:pt idx="45">
                  <c:v>259970</c:v>
                </c:pt>
                <c:pt idx="46">
                  <c:v>263050</c:v>
                </c:pt>
                <c:pt idx="47">
                  <c:v>260780</c:v>
                </c:pt>
                <c:pt idx="48">
                  <c:v>259870</c:v>
                </c:pt>
                <c:pt idx="49">
                  <c:v>250620</c:v>
                </c:pt>
                <c:pt idx="50">
                  <c:v>242530</c:v>
                </c:pt>
                <c:pt idx="51">
                  <c:v>233040</c:v>
                </c:pt>
                <c:pt idx="52">
                  <c:v>228790</c:v>
                </c:pt>
                <c:pt idx="53">
                  <c:v>226680</c:v>
                </c:pt>
                <c:pt idx="54">
                  <c:v>215980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smooth val="0"/>
        </c:ser>
        <c:dLbls>
          <c:showLegendKey val="0"/>
          <c:showVal val="0"/>
          <c:showCatName val="0"/>
          <c:showSerName val="0"/>
          <c:showPercent val="0"/>
          <c:showBubbleSize val="0"/>
        </c:dLbls>
        <c:marker val="1"/>
        <c:smooth val="0"/>
        <c:axId val="45139456"/>
        <c:axId val="45140992"/>
      </c:lineChart>
      <c:catAx>
        <c:axId val="45110784"/>
        <c:scaling>
          <c:orientation val="minMax"/>
        </c:scaling>
        <c:delete val="0"/>
        <c:axPos val="b"/>
        <c:majorGridlines>
          <c:spPr>
            <a:ln w="3175">
              <a:solidFill>
                <a:srgbClr val="969696"/>
              </a:solidFill>
              <a:prstDash val="lgDash"/>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45112704"/>
        <c:crosses val="autoZero"/>
        <c:auto val="1"/>
        <c:lblAlgn val="ctr"/>
        <c:lblOffset val="100"/>
        <c:tickLblSkip val="2"/>
        <c:tickMarkSkip val="12"/>
        <c:noMultiLvlLbl val="0"/>
      </c:catAx>
      <c:valAx>
        <c:axId val="45112704"/>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Therms / Month  &amp; HDD</a:t>
                </a:r>
              </a:p>
            </c:rich>
          </c:tx>
          <c:layout>
            <c:manualLayout>
              <c:xMode val="edge"/>
              <c:yMode val="edge"/>
              <c:x val="9.9889012208657056E-3"/>
              <c:y val="0.368678629690048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5110784"/>
        <c:crosses val="autoZero"/>
        <c:crossBetween val="midCat"/>
      </c:valAx>
      <c:catAx>
        <c:axId val="45139456"/>
        <c:scaling>
          <c:orientation val="minMax"/>
        </c:scaling>
        <c:delete val="1"/>
        <c:axPos val="b"/>
        <c:majorTickMark val="out"/>
        <c:minorTickMark val="none"/>
        <c:tickLblPos val="nextTo"/>
        <c:crossAx val="45140992"/>
        <c:crosses val="autoZero"/>
        <c:auto val="1"/>
        <c:lblAlgn val="ctr"/>
        <c:lblOffset val="100"/>
        <c:noMultiLvlLbl val="0"/>
      </c:catAx>
      <c:valAx>
        <c:axId val="45140992"/>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US"/>
                  <a:t>Annual Therms</a:t>
                </a:r>
              </a:p>
            </c:rich>
          </c:tx>
          <c:layout>
            <c:manualLayout>
              <c:xMode val="edge"/>
              <c:yMode val="edge"/>
              <c:x val="0.96337402885682577"/>
              <c:y val="0.409461663947797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5139456"/>
        <c:crosses val="max"/>
        <c:crossBetween val="midCat"/>
      </c:valAx>
      <c:spPr>
        <a:noFill/>
        <a:ln w="12700">
          <a:solidFill>
            <a:srgbClr val="808080"/>
          </a:solidFill>
          <a:prstDash val="solid"/>
        </a:ln>
      </c:spPr>
    </c:plotArea>
    <c:legend>
      <c:legendPos val="b"/>
      <c:layout>
        <c:manualLayout>
          <c:xMode val="edge"/>
          <c:yMode val="edge"/>
          <c:x val="9.9889012208657049E-2"/>
          <c:y val="0.9559543230016313"/>
          <c:w val="0.81132075471698106"/>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Gas Use vs Outdoor Temperature</a:t>
            </a:r>
          </a:p>
        </c:rich>
      </c:tx>
      <c:layout>
        <c:manualLayout>
          <c:xMode val="edge"/>
          <c:yMode val="edge"/>
          <c:x val="0.25083240843507215"/>
          <c:y val="1.9575856443719411E-2"/>
        </c:manualLayout>
      </c:layout>
      <c:overlay val="0"/>
      <c:spPr>
        <a:noFill/>
        <a:ln w="25400">
          <a:noFill/>
        </a:ln>
      </c:spPr>
    </c:title>
    <c:autoTitleDeleted val="0"/>
    <c:plotArea>
      <c:layout>
        <c:manualLayout>
          <c:layoutTarget val="inner"/>
          <c:xMode val="edge"/>
          <c:yMode val="edge"/>
          <c:x val="7.6581576026637066E-2"/>
          <c:y val="0.1500815660685155"/>
          <c:w val="0.90566037735849059"/>
          <c:h val="0.69331158238172919"/>
        </c:manualLayout>
      </c:layout>
      <c:scatterChart>
        <c:scatterStyle val="lineMarker"/>
        <c:varyColors val="0"/>
        <c:ser>
          <c:idx val="0"/>
          <c:order val="0"/>
          <c:tx>
            <c:strRef>
              <c:f>Data!$B$12</c:f>
              <c:strCache>
                <c:ptCount val="1"/>
                <c:pt idx="0">
                  <c:v>2007</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xVal>
            <c:numRef>
              <c:f>Data!$AF$12:$AF$83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xVal>
          <c:yVal>
            <c:numRef>
              <c:f>Data!$AJ$12:$AJ$23</c:f>
              <c:numCache>
                <c:formatCode>0</c:formatCode>
                <c:ptCount val="12"/>
                <c:pt idx="0">
                  <c:v>0</c:v>
                </c:pt>
                <c:pt idx="1">
                  <c:v>0</c:v>
                </c:pt>
                <c:pt idx="2">
                  <c:v>0</c:v>
                </c:pt>
                <c:pt idx="3">
                  <c:v>0</c:v>
                </c:pt>
                <c:pt idx="4">
                  <c:v>0</c:v>
                </c:pt>
                <c:pt idx="5">
                  <c:v>0</c:v>
                </c:pt>
                <c:pt idx="6">
                  <c:v>0</c:v>
                </c:pt>
                <c:pt idx="7">
                  <c:v>0</c:v>
                </c:pt>
                <c:pt idx="8">
                  <c:v>0</c:v>
                </c:pt>
                <c:pt idx="9">
                  <c:v>84.838709677419359</c:v>
                </c:pt>
                <c:pt idx="10">
                  <c:v>475</c:v>
                </c:pt>
                <c:pt idx="11">
                  <c:v>914.51612903225805</c:v>
                </c:pt>
              </c:numCache>
            </c:numRef>
          </c:yVal>
          <c:smooth val="0"/>
        </c:ser>
        <c:ser>
          <c:idx val="1"/>
          <c:order val="1"/>
          <c:tx>
            <c:strRef>
              <c:f>Data!$B$24</c:f>
              <c:strCache>
                <c:ptCount val="1"/>
                <c:pt idx="0">
                  <c:v>2008</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trendline>
            <c:spPr>
              <a:ln w="28575">
                <a:solidFill>
                  <a:srgbClr val="FF00FF"/>
                </a:solidFill>
              </a:ln>
            </c:spPr>
            <c:trendlineType val="linear"/>
            <c:dispRSqr val="0"/>
            <c:dispEq val="0"/>
          </c:trendline>
          <c:xVal>
            <c:numRef>
              <c:f>Data!$AF$12:$AF$83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xVal>
          <c:yVal>
            <c:numRef>
              <c:f>Data!$AJ$24:$AJ$35</c:f>
              <c:numCache>
                <c:formatCode>0</c:formatCode>
                <c:ptCount val="12"/>
                <c:pt idx="0">
                  <c:v>1073.5483870967741</c:v>
                </c:pt>
                <c:pt idx="1">
                  <c:v>1004.8275862068965</c:v>
                </c:pt>
                <c:pt idx="2">
                  <c:v>624.51612903225805</c:v>
                </c:pt>
                <c:pt idx="3">
                  <c:v>449.66666666666669</c:v>
                </c:pt>
                <c:pt idx="4">
                  <c:v>266.45161290322579</c:v>
                </c:pt>
                <c:pt idx="5">
                  <c:v>190.66666666666666</c:v>
                </c:pt>
                <c:pt idx="6">
                  <c:v>170</c:v>
                </c:pt>
                <c:pt idx="7">
                  <c:v>216.45161290322579</c:v>
                </c:pt>
                <c:pt idx="8">
                  <c:v>234.33333333333334</c:v>
                </c:pt>
                <c:pt idx="9">
                  <c:v>426.77419354838707</c:v>
                </c:pt>
                <c:pt idx="10">
                  <c:v>804</c:v>
                </c:pt>
                <c:pt idx="11">
                  <c:v>1361.2</c:v>
                </c:pt>
              </c:numCache>
            </c:numRef>
          </c:yVal>
          <c:smooth val="0"/>
        </c:ser>
        <c:ser>
          <c:idx val="2"/>
          <c:order val="2"/>
          <c:tx>
            <c:strRef>
              <c:f>Data!$B$36</c:f>
              <c:strCache>
                <c:ptCount val="1"/>
                <c:pt idx="0">
                  <c:v>2009</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xVal>
            <c:numRef>
              <c:f>Data!$AF$12:$AF$83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xVal>
          <c:yVal>
            <c:numRef>
              <c:f>Data!$AJ$36:$AJ$47</c:f>
              <c:numCache>
                <c:formatCode>0</c:formatCode>
                <c:ptCount val="12"/>
                <c:pt idx="0">
                  <c:v>1046.4516129032259</c:v>
                </c:pt>
                <c:pt idx="1">
                  <c:v>862.14285714285711</c:v>
                </c:pt>
                <c:pt idx="2">
                  <c:v>561.29032258064512</c:v>
                </c:pt>
                <c:pt idx="3">
                  <c:v>398</c:v>
                </c:pt>
                <c:pt idx="4">
                  <c:v>232.58064516129033</c:v>
                </c:pt>
                <c:pt idx="5">
                  <c:v>211.66666666666666</c:v>
                </c:pt>
                <c:pt idx="6">
                  <c:v>188.06451612903226</c:v>
                </c:pt>
                <c:pt idx="7">
                  <c:v>329.03225806451616</c:v>
                </c:pt>
                <c:pt idx="8">
                  <c:v>329.66666666666669</c:v>
                </c:pt>
                <c:pt idx="9">
                  <c:v>504.51612903225805</c:v>
                </c:pt>
                <c:pt idx="10">
                  <c:v>516.33333333333337</c:v>
                </c:pt>
                <c:pt idx="11">
                  <c:v>1182.258064516129</c:v>
                </c:pt>
              </c:numCache>
            </c:numRef>
          </c:yVal>
          <c:smooth val="0"/>
        </c:ser>
        <c:ser>
          <c:idx val="5"/>
          <c:order val="3"/>
          <c:tx>
            <c:strRef>
              <c:f>Data!$B$48</c:f>
              <c:strCache>
                <c:ptCount val="1"/>
                <c:pt idx="0">
                  <c:v>2010</c:v>
                </c:pt>
              </c:strCache>
            </c:strRef>
          </c:tx>
          <c:spPr>
            <a:ln w="12700">
              <a:solidFill>
                <a:srgbClr val="0000FF"/>
              </a:solidFill>
              <a:prstDash val="solid"/>
            </a:ln>
          </c:spPr>
          <c:marker>
            <c:symbol val="circle"/>
            <c:size val="5"/>
            <c:spPr>
              <a:solidFill>
                <a:srgbClr val="0000FF"/>
              </a:solidFill>
              <a:ln>
                <a:solidFill>
                  <a:srgbClr val="0000FF"/>
                </a:solidFill>
                <a:prstDash val="solid"/>
              </a:ln>
            </c:spPr>
          </c:marker>
          <c:trendline>
            <c:spPr>
              <a:ln w="28575">
                <a:solidFill>
                  <a:schemeClr val="tx2"/>
                </a:solidFill>
              </a:ln>
            </c:spPr>
            <c:trendlineType val="linear"/>
            <c:dispRSqr val="0"/>
            <c:dispEq val="0"/>
          </c:trendline>
          <c:xVal>
            <c:numRef>
              <c:f>Data!$AF$48:$AF$59</c:f>
              <c:numCache>
                <c:formatCode>General</c:formatCode>
                <c:ptCount val="12"/>
                <c:pt idx="0">
                  <c:v>30</c:v>
                </c:pt>
                <c:pt idx="1">
                  <c:v>35</c:v>
                </c:pt>
                <c:pt idx="2">
                  <c:v>49</c:v>
                </c:pt>
                <c:pt idx="3">
                  <c:v>62</c:v>
                </c:pt>
                <c:pt idx="4">
                  <c:v>67</c:v>
                </c:pt>
                <c:pt idx="5">
                  <c:v>79</c:v>
                </c:pt>
                <c:pt idx="6">
                  <c:v>82</c:v>
                </c:pt>
                <c:pt idx="7">
                  <c:v>82</c:v>
                </c:pt>
                <c:pt idx="8">
                  <c:v>72</c:v>
                </c:pt>
                <c:pt idx="9">
                  <c:v>60</c:v>
                </c:pt>
                <c:pt idx="10">
                  <c:v>49</c:v>
                </c:pt>
                <c:pt idx="11">
                  <c:v>36</c:v>
                </c:pt>
              </c:numCache>
            </c:numRef>
          </c:xVal>
          <c:yVal>
            <c:numRef>
              <c:f>Data!$AJ$48:$AJ$59</c:f>
              <c:numCache>
                <c:formatCode>0</c:formatCode>
                <c:ptCount val="12"/>
                <c:pt idx="0">
                  <c:v>1218.0645161290322</c:v>
                </c:pt>
                <c:pt idx="1">
                  <c:v>1298.5714285714287</c:v>
                </c:pt>
                <c:pt idx="2">
                  <c:v>926</c:v>
                </c:pt>
                <c:pt idx="3">
                  <c:v>665.66666666666663</c:v>
                </c:pt>
                <c:pt idx="4">
                  <c:v>564.83870967741939</c:v>
                </c:pt>
                <c:pt idx="5">
                  <c:v>283.66666666666669</c:v>
                </c:pt>
                <c:pt idx="6">
                  <c:v>487.09677419354841</c:v>
                </c:pt>
                <c:pt idx="7">
                  <c:v>427.41935483870969</c:v>
                </c:pt>
                <c:pt idx="8">
                  <c:v>440.66666666666669</c:v>
                </c:pt>
                <c:pt idx="9">
                  <c:v>592.58064516129036</c:v>
                </c:pt>
                <c:pt idx="10">
                  <c:v>619</c:v>
                </c:pt>
                <c:pt idx="11">
                  <c:v>1109.0322580645161</c:v>
                </c:pt>
              </c:numCache>
            </c:numRef>
          </c:yVal>
          <c:smooth val="0"/>
        </c:ser>
        <c:ser>
          <c:idx val="4"/>
          <c:order val="4"/>
          <c:tx>
            <c:strRef>
              <c:f>Data!$B$60</c:f>
              <c:strCache>
                <c:ptCount val="1"/>
                <c:pt idx="0">
                  <c:v>2011</c:v>
                </c:pt>
              </c:strCache>
            </c:strRef>
          </c:tx>
          <c:spPr>
            <a:ln w="12700">
              <a:solidFill>
                <a:srgbClr val="008000"/>
              </a:solidFill>
              <a:prstDash val="solid"/>
            </a:ln>
          </c:spPr>
          <c:marker>
            <c:symbol val="star"/>
            <c:size val="5"/>
            <c:spPr>
              <a:noFill/>
              <a:ln>
                <a:solidFill>
                  <a:srgbClr val="008000"/>
                </a:solidFill>
                <a:prstDash val="solid"/>
              </a:ln>
            </c:spPr>
          </c:marker>
          <c:xVal>
            <c:numRef>
              <c:f>Data!$AF$12:$AF$83</c:f>
              <c:numCache>
                <c:formatCode>General</c:formatCode>
                <c:ptCount val="72"/>
                <c:pt idx="0">
                  <c:v>34</c:v>
                </c:pt>
                <c:pt idx="1">
                  <c:v>37</c:v>
                </c:pt>
                <c:pt idx="2">
                  <c:v>58</c:v>
                </c:pt>
                <c:pt idx="3">
                  <c:v>55</c:v>
                </c:pt>
                <c:pt idx="4">
                  <c:v>69</c:v>
                </c:pt>
                <c:pt idx="5">
                  <c:v>75</c:v>
                </c:pt>
                <c:pt idx="6">
                  <c:v>79</c:v>
                </c:pt>
                <c:pt idx="7">
                  <c:v>83</c:v>
                </c:pt>
                <c:pt idx="8">
                  <c:v>73</c:v>
                </c:pt>
                <c:pt idx="9">
                  <c:v>62</c:v>
                </c:pt>
                <c:pt idx="10">
                  <c:v>49</c:v>
                </c:pt>
                <c:pt idx="11">
                  <c:v>35</c:v>
                </c:pt>
                <c:pt idx="12">
                  <c:v>35</c:v>
                </c:pt>
                <c:pt idx="13">
                  <c:v>37</c:v>
                </c:pt>
                <c:pt idx="14">
                  <c:v>48</c:v>
                </c:pt>
                <c:pt idx="15">
                  <c:v>56</c:v>
                </c:pt>
                <c:pt idx="16">
                  <c:v>68</c:v>
                </c:pt>
                <c:pt idx="17">
                  <c:v>76</c:v>
                </c:pt>
                <c:pt idx="18">
                  <c:v>80</c:v>
                </c:pt>
                <c:pt idx="19">
                  <c:v>77</c:v>
                </c:pt>
                <c:pt idx="20">
                  <c:v>69</c:v>
                </c:pt>
                <c:pt idx="21">
                  <c:v>58</c:v>
                </c:pt>
                <c:pt idx="22">
                  <c:v>47</c:v>
                </c:pt>
                <c:pt idx="23">
                  <c:v>37</c:v>
                </c:pt>
                <c:pt idx="24">
                  <c:v>33</c:v>
                </c:pt>
                <c:pt idx="25">
                  <c:v>44</c:v>
                </c:pt>
                <c:pt idx="26">
                  <c:v>51</c:v>
                </c:pt>
                <c:pt idx="27">
                  <c:v>57</c:v>
                </c:pt>
                <c:pt idx="28">
                  <c:v>66</c:v>
                </c:pt>
                <c:pt idx="29">
                  <c:v>79</c:v>
                </c:pt>
                <c:pt idx="30">
                  <c:v>78</c:v>
                </c:pt>
                <c:pt idx="31">
                  <c:v>76</c:v>
                </c:pt>
                <c:pt idx="32">
                  <c:v>69</c:v>
                </c:pt>
                <c:pt idx="33">
                  <c:v>54</c:v>
                </c:pt>
                <c:pt idx="34">
                  <c:v>52</c:v>
                </c:pt>
                <c:pt idx="35">
                  <c:v>32</c:v>
                </c:pt>
                <c:pt idx="36">
                  <c:v>30</c:v>
                </c:pt>
                <c:pt idx="37">
                  <c:v>35</c:v>
                </c:pt>
                <c:pt idx="38">
                  <c:v>49</c:v>
                </c:pt>
                <c:pt idx="39">
                  <c:v>62</c:v>
                </c:pt>
                <c:pt idx="40">
                  <c:v>67</c:v>
                </c:pt>
                <c:pt idx="41">
                  <c:v>79</c:v>
                </c:pt>
                <c:pt idx="42">
                  <c:v>82</c:v>
                </c:pt>
                <c:pt idx="43">
                  <c:v>82</c:v>
                </c:pt>
                <c:pt idx="44">
                  <c:v>72</c:v>
                </c:pt>
                <c:pt idx="45">
                  <c:v>60</c:v>
                </c:pt>
                <c:pt idx="46">
                  <c:v>49</c:v>
                </c:pt>
                <c:pt idx="47">
                  <c:v>36</c:v>
                </c:pt>
                <c:pt idx="48">
                  <c:v>32</c:v>
                </c:pt>
                <c:pt idx="49">
                  <c:v>35</c:v>
                </c:pt>
                <c:pt idx="50">
                  <c:v>49</c:v>
                </c:pt>
                <c:pt idx="51">
                  <c:v>60</c:v>
                </c:pt>
                <c:pt idx="52">
                  <c:v>66</c:v>
                </c:pt>
                <c:pt idx="53">
                  <c:v>81</c:v>
                </c:pt>
                <c:pt idx="54">
                  <c:v>87</c:v>
                </c:pt>
                <c:pt idx="55">
                  <c:v>84</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xVal>
          <c:yVal>
            <c:numRef>
              <c:f>Data!$AJ$60:$AJ$71</c:f>
              <c:numCache>
                <c:formatCode>0</c:formatCode>
                <c:ptCount val="12"/>
                <c:pt idx="0">
                  <c:v>1188.7096774193549</c:v>
                </c:pt>
                <c:pt idx="1">
                  <c:v>968.21428571428567</c:v>
                </c:pt>
                <c:pt idx="2">
                  <c:v>635.16129032258061</c:v>
                </c:pt>
                <c:pt idx="3">
                  <c:v>349.33333333333331</c:v>
                </c:pt>
                <c:pt idx="4">
                  <c:v>427.74193548387098</c:v>
                </c:pt>
                <c:pt idx="5">
                  <c:v>213.33333333333334</c:v>
                </c:pt>
                <c:pt idx="6">
                  <c:v>141.93548387096774</c:v>
                </c:pt>
                <c:pt idx="7">
                  <c:v>0</c:v>
                </c:pt>
                <c:pt idx="8">
                  <c:v>0</c:v>
                </c:pt>
                <c:pt idx="9">
                  <c:v>0</c:v>
                </c:pt>
                <c:pt idx="10">
                  <c:v>0</c:v>
                </c:pt>
                <c:pt idx="11">
                  <c:v>0</c:v>
                </c:pt>
              </c:numCache>
            </c:numRef>
          </c:yVal>
          <c:smooth val="0"/>
        </c:ser>
        <c:dLbls>
          <c:showLegendKey val="0"/>
          <c:showVal val="0"/>
          <c:showCatName val="0"/>
          <c:showSerName val="0"/>
          <c:showPercent val="0"/>
          <c:showBubbleSize val="0"/>
        </c:dLbls>
        <c:axId val="44843392"/>
        <c:axId val="44845696"/>
      </c:scatterChart>
      <c:valAx>
        <c:axId val="44843392"/>
        <c:scaling>
          <c:orientation val="minMax"/>
          <c:min val="30"/>
        </c:scaling>
        <c:delete val="0"/>
        <c:axPos val="b"/>
        <c:title>
          <c:tx>
            <c:rich>
              <a:bodyPr/>
              <a:lstStyle/>
              <a:p>
                <a:pPr>
                  <a:defRPr sz="1000" b="1" i="0" u="none" strike="noStrike" baseline="0">
                    <a:solidFill>
                      <a:srgbClr val="000000"/>
                    </a:solidFill>
                    <a:latin typeface="Arial"/>
                    <a:ea typeface="Arial"/>
                    <a:cs typeface="Arial"/>
                  </a:defRPr>
                </a:pPr>
                <a:r>
                  <a:rPr lang="en-US"/>
                  <a:t>Average Daily Temperature</a:t>
                </a:r>
              </a:p>
            </c:rich>
          </c:tx>
          <c:layout>
            <c:manualLayout>
              <c:xMode val="edge"/>
              <c:yMode val="edge"/>
              <c:x val="0.4306326304106548"/>
              <c:y val="0.893964110929853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4845696"/>
        <c:crosses val="autoZero"/>
        <c:crossBetween val="midCat"/>
      </c:valAx>
      <c:valAx>
        <c:axId val="44845696"/>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Average Therms/Day</a:t>
                </a:r>
              </a:p>
            </c:rich>
          </c:tx>
          <c:layout>
            <c:manualLayout>
              <c:xMode val="edge"/>
              <c:yMode val="edge"/>
              <c:x val="1.4428412874583796E-2"/>
              <c:y val="0.384991843393148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4843392"/>
        <c:crosses val="autoZero"/>
        <c:crossBetween val="midCat"/>
      </c:valAx>
      <c:spPr>
        <a:noFill/>
        <a:ln w="12700">
          <a:solidFill>
            <a:srgbClr val="000000"/>
          </a:solidFill>
          <a:prstDash val="solid"/>
        </a:ln>
      </c:spPr>
    </c:plotArea>
    <c:legend>
      <c:legendPos val="b"/>
      <c:layout>
        <c:manualLayout>
          <c:xMode val="edge"/>
          <c:yMode val="edge"/>
          <c:x val="0.13207547169811321"/>
          <c:y val="0.9559543230016313"/>
          <c:w val="0.79800221975582686"/>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2000" b="1" i="0" u="none" strike="noStrike" baseline="0">
                <a:solidFill>
                  <a:srgbClr val="000000"/>
                </a:solidFill>
                <a:latin typeface="Arial"/>
                <a:cs typeface="Arial"/>
              </a:rPr>
              <a:t>Monthly Energy Use </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MMBTU per Month</a:t>
            </a:r>
          </a:p>
        </c:rich>
      </c:tx>
      <c:layout>
        <c:manualLayout>
          <c:xMode val="edge"/>
          <c:yMode val="edge"/>
          <c:x val="0.34961154273029965"/>
          <c:y val="1.9575856443719411E-2"/>
        </c:manualLayout>
      </c:layout>
      <c:overlay val="0"/>
      <c:spPr>
        <a:noFill/>
        <a:ln w="25400">
          <a:noFill/>
        </a:ln>
      </c:spPr>
    </c:title>
    <c:autoTitleDeleted val="0"/>
    <c:plotArea>
      <c:layout>
        <c:manualLayout>
          <c:layoutTarget val="inner"/>
          <c:xMode val="edge"/>
          <c:yMode val="edge"/>
          <c:x val="7.5471698113207544E-2"/>
          <c:y val="0.21044045676998369"/>
          <c:w val="0.85349611542730297"/>
          <c:h val="0.64110929853181076"/>
        </c:manualLayout>
      </c:layout>
      <c:lineChart>
        <c:grouping val="standard"/>
        <c:varyColors val="0"/>
        <c:ser>
          <c:idx val="0"/>
          <c:order val="0"/>
          <c:tx>
            <c:v>Electricity</c:v>
          </c:tx>
          <c:spPr>
            <a:ln w="12700">
              <a:solidFill>
                <a:srgbClr val="FF0000"/>
              </a:solidFill>
              <a:prstDash val="solid"/>
            </a:ln>
          </c:spPr>
          <c:marker>
            <c:symbol val="diamond"/>
            <c:size val="5"/>
            <c:spPr>
              <a:solidFill>
                <a:srgbClr val="FF0000"/>
              </a:solidFill>
              <a:ln>
                <a:solidFill>
                  <a:srgbClr val="FF0000"/>
                </a:solidFill>
                <a:prstDash val="solid"/>
              </a:ln>
            </c:spPr>
          </c:marker>
          <c:cat>
            <c:strRef>
              <c:f>Data!$A$12:$A$78</c:f>
              <c:strCache>
                <c:ptCount val="67"/>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strCache>
            </c:strRef>
          </c:cat>
          <c:val>
            <c:numRef>
              <c:f>Data!$M$12:$M$78</c:f>
              <c:numCache>
                <c:formatCode>#,##0</c:formatCode>
                <c:ptCount val="67"/>
                <c:pt idx="0">
                  <c:v>650.17649999999992</c:v>
                </c:pt>
                <c:pt idx="1">
                  <c:v>709.56269999999995</c:v>
                </c:pt>
                <c:pt idx="2">
                  <c:v>693.18029999999999</c:v>
                </c:pt>
                <c:pt idx="3">
                  <c:v>875.43449999999996</c:v>
                </c:pt>
                <c:pt idx="4">
                  <c:v>1021.8521999999999</c:v>
                </c:pt>
                <c:pt idx="5">
                  <c:v>829.35899999999992</c:v>
                </c:pt>
                <c:pt idx="6">
                  <c:v>855.98039999999992</c:v>
                </c:pt>
                <c:pt idx="7">
                  <c:v>1198.9868999999999</c:v>
                </c:pt>
                <c:pt idx="8">
                  <c:v>1254.2774999999999</c:v>
                </c:pt>
                <c:pt idx="9">
                  <c:v>939.94019999999989</c:v>
                </c:pt>
                <c:pt idx="10">
                  <c:v>1038.2346</c:v>
                </c:pt>
                <c:pt idx="11">
                  <c:v>1011.6131999999999</c:v>
                </c:pt>
                <c:pt idx="12">
                  <c:v>862.12379999999996</c:v>
                </c:pt>
                <c:pt idx="13">
                  <c:v>1244.0384999999999</c:v>
                </c:pt>
                <c:pt idx="14">
                  <c:v>957.34649999999999</c:v>
                </c:pt>
                <c:pt idx="15">
                  <c:v>977.82449999999994</c:v>
                </c:pt>
                <c:pt idx="16">
                  <c:v>1047.4496999999999</c:v>
                </c:pt>
                <c:pt idx="17">
                  <c:v>1094.5491</c:v>
                </c:pt>
                <c:pt idx="18">
                  <c:v>1330.0461</c:v>
                </c:pt>
                <c:pt idx="19">
                  <c:v>1311.6159</c:v>
                </c:pt>
                <c:pt idx="20">
                  <c:v>1391.4801</c:v>
                </c:pt>
                <c:pt idx="21">
                  <c:v>1099.6686</c:v>
                </c:pt>
                <c:pt idx="22">
                  <c:v>1062.8081999999999</c:v>
                </c:pt>
                <c:pt idx="23">
                  <c:v>1188.7478999999998</c:v>
                </c:pt>
                <c:pt idx="24">
                  <c:v>1019.8044</c:v>
                </c:pt>
                <c:pt idx="25">
                  <c:v>1205.1303</c:v>
                </c:pt>
                <c:pt idx="26">
                  <c:v>1006.4937</c:v>
                </c:pt>
                <c:pt idx="27">
                  <c:v>1067.9277</c:v>
                </c:pt>
                <c:pt idx="28">
                  <c:v>1174.4132999999999</c:v>
                </c:pt>
                <c:pt idx="29">
                  <c:v>1221.5127</c:v>
                </c:pt>
                <c:pt idx="30">
                  <c:v>1290.114</c:v>
                </c:pt>
                <c:pt idx="31">
                  <c:v>1433.4599999999998</c:v>
                </c:pt>
                <c:pt idx="32">
                  <c:v>1287.0422999999998</c:v>
                </c:pt>
                <c:pt idx="33">
                  <c:v>904.1037</c:v>
                </c:pt>
                <c:pt idx="34">
                  <c:v>1256.3253</c:v>
                </c:pt>
                <c:pt idx="35">
                  <c:v>1225.6082999999999</c:v>
                </c:pt>
                <c:pt idx="36">
                  <c:v>1215.3692999999998</c:v>
                </c:pt>
                <c:pt idx="37">
                  <c:v>1180.5566999999999</c:v>
                </c:pt>
                <c:pt idx="38">
                  <c:v>1239.9429</c:v>
                </c:pt>
                <c:pt idx="39">
                  <c:v>1333.1178</c:v>
                </c:pt>
                <c:pt idx="40">
                  <c:v>1571.6864999999998</c:v>
                </c:pt>
                <c:pt idx="41">
                  <c:v>1379.1932999999999</c:v>
                </c:pt>
                <c:pt idx="42">
                  <c:v>1668.9569999999999</c:v>
                </c:pt>
                <c:pt idx="43">
                  <c:v>1958.7206999999999</c:v>
                </c:pt>
                <c:pt idx="44">
                  <c:v>1792.8489</c:v>
                </c:pt>
                <c:pt idx="45">
                  <c:v>1380.2171999999998</c:v>
                </c:pt>
                <c:pt idx="46">
                  <c:v>1207.1780999999999</c:v>
                </c:pt>
                <c:pt idx="47">
                  <c:v>1221.5127</c:v>
                </c:pt>
                <c:pt idx="48">
                  <c:v>1072.0232999999998</c:v>
                </c:pt>
                <c:pt idx="49">
                  <c:v>1038.2346</c:v>
                </c:pt>
                <c:pt idx="50">
                  <c:v>999.32639999999992</c:v>
                </c:pt>
                <c:pt idx="51">
                  <c:v>1143.6962999999998</c:v>
                </c:pt>
                <c:pt idx="52">
                  <c:v>1238.9189999999999</c:v>
                </c:pt>
                <c:pt idx="53">
                  <c:v>1143.6962999999998</c:v>
                </c:pt>
                <c:pt idx="54">
                  <c:v>1222.5365999999999</c:v>
                </c:pt>
                <c:pt idx="55">
                  <c:v>0</c:v>
                </c:pt>
                <c:pt idx="56">
                  <c:v>0</c:v>
                </c:pt>
                <c:pt idx="57">
                  <c:v>0</c:v>
                </c:pt>
                <c:pt idx="58">
                  <c:v>0</c:v>
                </c:pt>
                <c:pt idx="59">
                  <c:v>0</c:v>
                </c:pt>
                <c:pt idx="60">
                  <c:v>0</c:v>
                </c:pt>
                <c:pt idx="61">
                  <c:v>0</c:v>
                </c:pt>
                <c:pt idx="62">
                  <c:v>0</c:v>
                </c:pt>
                <c:pt idx="63">
                  <c:v>0</c:v>
                </c:pt>
                <c:pt idx="64">
                  <c:v>0</c:v>
                </c:pt>
                <c:pt idx="65">
                  <c:v>0</c:v>
                </c:pt>
                <c:pt idx="66">
                  <c:v>0</c:v>
                </c:pt>
              </c:numCache>
            </c:numRef>
          </c:val>
          <c:smooth val="0"/>
        </c:ser>
        <c:ser>
          <c:idx val="1"/>
          <c:order val="1"/>
          <c:tx>
            <c:v>Natural Gas</c:v>
          </c:tx>
          <c:spPr>
            <a:ln w="12700">
              <a:solidFill>
                <a:srgbClr val="008000"/>
              </a:solidFill>
              <a:prstDash val="solid"/>
            </a:ln>
          </c:spPr>
          <c:marker>
            <c:symbol val="square"/>
            <c:size val="5"/>
            <c:spPr>
              <a:solidFill>
                <a:srgbClr val="008000"/>
              </a:solidFill>
              <a:ln>
                <a:solidFill>
                  <a:srgbClr val="008000"/>
                </a:solidFill>
                <a:prstDash val="solid"/>
              </a:ln>
            </c:spPr>
          </c:marker>
          <c:cat>
            <c:strRef>
              <c:f>Data!$A$12:$A$78</c:f>
              <c:strCache>
                <c:ptCount val="67"/>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strCache>
            </c:strRef>
          </c:cat>
          <c:val>
            <c:numRef>
              <c:f>Data!$AH$12:$AH$78</c:f>
              <c:numCache>
                <c:formatCode>#,##0</c:formatCode>
                <c:ptCount val="67"/>
                <c:pt idx="0">
                  <c:v>0</c:v>
                </c:pt>
                <c:pt idx="1">
                  <c:v>0</c:v>
                </c:pt>
                <c:pt idx="2">
                  <c:v>0</c:v>
                </c:pt>
                <c:pt idx="3">
                  <c:v>0</c:v>
                </c:pt>
                <c:pt idx="4">
                  <c:v>0</c:v>
                </c:pt>
                <c:pt idx="5">
                  <c:v>0</c:v>
                </c:pt>
                <c:pt idx="6">
                  <c:v>0</c:v>
                </c:pt>
                <c:pt idx="7">
                  <c:v>0</c:v>
                </c:pt>
                <c:pt idx="8">
                  <c:v>0</c:v>
                </c:pt>
                <c:pt idx="9">
                  <c:v>263</c:v>
                </c:pt>
                <c:pt idx="10">
                  <c:v>1425</c:v>
                </c:pt>
                <c:pt idx="11">
                  <c:v>2835</c:v>
                </c:pt>
                <c:pt idx="12">
                  <c:v>3328</c:v>
                </c:pt>
                <c:pt idx="13">
                  <c:v>2914</c:v>
                </c:pt>
                <c:pt idx="14">
                  <c:v>1936</c:v>
                </c:pt>
                <c:pt idx="15">
                  <c:v>1349</c:v>
                </c:pt>
                <c:pt idx="16">
                  <c:v>826</c:v>
                </c:pt>
                <c:pt idx="17">
                  <c:v>572</c:v>
                </c:pt>
                <c:pt idx="18">
                  <c:v>527</c:v>
                </c:pt>
                <c:pt idx="19">
                  <c:v>671</c:v>
                </c:pt>
                <c:pt idx="20">
                  <c:v>703</c:v>
                </c:pt>
                <c:pt idx="21">
                  <c:v>1323</c:v>
                </c:pt>
                <c:pt idx="22">
                  <c:v>2412</c:v>
                </c:pt>
                <c:pt idx="23">
                  <c:v>3403</c:v>
                </c:pt>
                <c:pt idx="24">
                  <c:v>3244</c:v>
                </c:pt>
                <c:pt idx="25">
                  <c:v>2414</c:v>
                </c:pt>
                <c:pt idx="26">
                  <c:v>1740</c:v>
                </c:pt>
                <c:pt idx="27">
                  <c:v>1194</c:v>
                </c:pt>
                <c:pt idx="28">
                  <c:v>721</c:v>
                </c:pt>
                <c:pt idx="29">
                  <c:v>635</c:v>
                </c:pt>
                <c:pt idx="30">
                  <c:v>583</c:v>
                </c:pt>
                <c:pt idx="31">
                  <c:v>1020</c:v>
                </c:pt>
                <c:pt idx="32">
                  <c:v>989</c:v>
                </c:pt>
                <c:pt idx="33">
                  <c:v>1564</c:v>
                </c:pt>
                <c:pt idx="34">
                  <c:v>1549</c:v>
                </c:pt>
                <c:pt idx="35">
                  <c:v>3665</c:v>
                </c:pt>
                <c:pt idx="36">
                  <c:v>3776</c:v>
                </c:pt>
                <c:pt idx="37">
                  <c:v>3636</c:v>
                </c:pt>
                <c:pt idx="38">
                  <c:v>2778</c:v>
                </c:pt>
                <c:pt idx="39">
                  <c:v>1997</c:v>
                </c:pt>
                <c:pt idx="40">
                  <c:v>1751</c:v>
                </c:pt>
                <c:pt idx="41">
                  <c:v>851</c:v>
                </c:pt>
                <c:pt idx="42">
                  <c:v>1510</c:v>
                </c:pt>
                <c:pt idx="43">
                  <c:v>1325</c:v>
                </c:pt>
                <c:pt idx="44">
                  <c:v>1322</c:v>
                </c:pt>
                <c:pt idx="45">
                  <c:v>1837</c:v>
                </c:pt>
                <c:pt idx="46">
                  <c:v>1857</c:v>
                </c:pt>
                <c:pt idx="47">
                  <c:v>3438</c:v>
                </c:pt>
                <c:pt idx="48">
                  <c:v>3685</c:v>
                </c:pt>
                <c:pt idx="49">
                  <c:v>2711</c:v>
                </c:pt>
                <c:pt idx="50">
                  <c:v>1969</c:v>
                </c:pt>
                <c:pt idx="51">
                  <c:v>1048</c:v>
                </c:pt>
                <c:pt idx="52">
                  <c:v>1326</c:v>
                </c:pt>
                <c:pt idx="53">
                  <c:v>640</c:v>
                </c:pt>
                <c:pt idx="54">
                  <c:v>440</c:v>
                </c:pt>
                <c:pt idx="55">
                  <c:v>0</c:v>
                </c:pt>
                <c:pt idx="56">
                  <c:v>0</c:v>
                </c:pt>
                <c:pt idx="57">
                  <c:v>0</c:v>
                </c:pt>
                <c:pt idx="58">
                  <c:v>0</c:v>
                </c:pt>
                <c:pt idx="59">
                  <c:v>0</c:v>
                </c:pt>
                <c:pt idx="60">
                  <c:v>0</c:v>
                </c:pt>
                <c:pt idx="61">
                  <c:v>0</c:v>
                </c:pt>
                <c:pt idx="62">
                  <c:v>0</c:v>
                </c:pt>
                <c:pt idx="63">
                  <c:v>0</c:v>
                </c:pt>
                <c:pt idx="64">
                  <c:v>0</c:v>
                </c:pt>
                <c:pt idx="65">
                  <c:v>0</c:v>
                </c:pt>
                <c:pt idx="66">
                  <c:v>0</c:v>
                </c:pt>
              </c:numCache>
            </c:numRef>
          </c:val>
          <c:smooth val="0"/>
        </c:ser>
        <c:dLbls>
          <c:showLegendKey val="0"/>
          <c:showVal val="0"/>
          <c:showCatName val="0"/>
          <c:showSerName val="0"/>
          <c:showPercent val="0"/>
          <c:showBubbleSize val="0"/>
        </c:dLbls>
        <c:marker val="1"/>
        <c:smooth val="0"/>
        <c:axId val="44925312"/>
        <c:axId val="44926848"/>
      </c:lineChart>
      <c:lineChart>
        <c:grouping val="standard"/>
        <c:varyColors val="0"/>
        <c:ser>
          <c:idx val="2"/>
          <c:order val="2"/>
          <c:tx>
            <c:v>Heating Degree Days</c:v>
          </c:tx>
          <c:spPr>
            <a:ln w="12700">
              <a:solidFill>
                <a:srgbClr val="FF00FF"/>
              </a:solidFill>
              <a:prstDash val="lgDash"/>
            </a:ln>
          </c:spPr>
          <c:marker>
            <c:symbol val="none"/>
          </c:marker>
          <c:cat>
            <c:strRef>
              <c:f>Data!$A$12:$A$78</c:f>
              <c:strCache>
                <c:ptCount val="67"/>
                <c:pt idx="0">
                  <c:v>JAN 7</c:v>
                </c:pt>
                <c:pt idx="1">
                  <c:v>FEB</c:v>
                </c:pt>
                <c:pt idx="2">
                  <c:v>MAR</c:v>
                </c:pt>
                <c:pt idx="3">
                  <c:v>APR</c:v>
                </c:pt>
                <c:pt idx="4">
                  <c:v>MAY</c:v>
                </c:pt>
                <c:pt idx="5">
                  <c:v>JUN</c:v>
                </c:pt>
                <c:pt idx="6">
                  <c:v>JUL</c:v>
                </c:pt>
                <c:pt idx="7">
                  <c:v>AUG</c:v>
                </c:pt>
                <c:pt idx="8">
                  <c:v>SEP</c:v>
                </c:pt>
                <c:pt idx="9">
                  <c:v>OCT</c:v>
                </c:pt>
                <c:pt idx="10">
                  <c:v>NOV</c:v>
                </c:pt>
                <c:pt idx="11">
                  <c:v>DEC</c:v>
                </c:pt>
                <c:pt idx="12">
                  <c:v>JAN 8</c:v>
                </c:pt>
                <c:pt idx="13">
                  <c:v>FEB</c:v>
                </c:pt>
                <c:pt idx="14">
                  <c:v>MAR</c:v>
                </c:pt>
                <c:pt idx="15">
                  <c:v>APR</c:v>
                </c:pt>
                <c:pt idx="16">
                  <c:v>MAY</c:v>
                </c:pt>
                <c:pt idx="17">
                  <c:v>JUN</c:v>
                </c:pt>
                <c:pt idx="18">
                  <c:v>JUL</c:v>
                </c:pt>
                <c:pt idx="19">
                  <c:v>AUG</c:v>
                </c:pt>
                <c:pt idx="20">
                  <c:v>SEP</c:v>
                </c:pt>
                <c:pt idx="21">
                  <c:v>OCT</c:v>
                </c:pt>
                <c:pt idx="22">
                  <c:v>NOV</c:v>
                </c:pt>
                <c:pt idx="23">
                  <c:v>DEC</c:v>
                </c:pt>
                <c:pt idx="24">
                  <c:v>JAN 9</c:v>
                </c:pt>
                <c:pt idx="25">
                  <c:v>FEB</c:v>
                </c:pt>
                <c:pt idx="26">
                  <c:v>MAR</c:v>
                </c:pt>
                <c:pt idx="27">
                  <c:v>APR</c:v>
                </c:pt>
                <c:pt idx="28">
                  <c:v>MAY</c:v>
                </c:pt>
                <c:pt idx="29">
                  <c:v>JUN</c:v>
                </c:pt>
                <c:pt idx="30">
                  <c:v>JUL</c:v>
                </c:pt>
                <c:pt idx="31">
                  <c:v>AUG</c:v>
                </c:pt>
                <c:pt idx="32">
                  <c:v>SEP</c:v>
                </c:pt>
                <c:pt idx="33">
                  <c:v>OCT</c:v>
                </c:pt>
                <c:pt idx="34">
                  <c:v>NOV</c:v>
                </c:pt>
                <c:pt idx="35">
                  <c:v>DEC</c:v>
                </c:pt>
                <c:pt idx="36">
                  <c:v>JAN 10</c:v>
                </c:pt>
                <c:pt idx="37">
                  <c:v>FEB</c:v>
                </c:pt>
                <c:pt idx="38">
                  <c:v>MAR</c:v>
                </c:pt>
                <c:pt idx="39">
                  <c:v>APR</c:v>
                </c:pt>
                <c:pt idx="40">
                  <c:v>MAY</c:v>
                </c:pt>
                <c:pt idx="41">
                  <c:v>JUN</c:v>
                </c:pt>
                <c:pt idx="42">
                  <c:v>JUL</c:v>
                </c:pt>
                <c:pt idx="43">
                  <c:v>AUG</c:v>
                </c:pt>
                <c:pt idx="44">
                  <c:v>SEP</c:v>
                </c:pt>
                <c:pt idx="45">
                  <c:v>OCT</c:v>
                </c:pt>
                <c:pt idx="46">
                  <c:v>NOV</c:v>
                </c:pt>
                <c:pt idx="47">
                  <c:v>DEC</c:v>
                </c:pt>
                <c:pt idx="48">
                  <c:v>JAN 11</c:v>
                </c:pt>
                <c:pt idx="49">
                  <c:v>FEB</c:v>
                </c:pt>
                <c:pt idx="50">
                  <c:v>MAR</c:v>
                </c:pt>
                <c:pt idx="51">
                  <c:v>APR</c:v>
                </c:pt>
                <c:pt idx="52">
                  <c:v>MAY</c:v>
                </c:pt>
                <c:pt idx="53">
                  <c:v>JUN</c:v>
                </c:pt>
                <c:pt idx="54">
                  <c:v>JUL</c:v>
                </c:pt>
                <c:pt idx="55">
                  <c:v>AUG</c:v>
                </c:pt>
                <c:pt idx="56">
                  <c:v>SEP</c:v>
                </c:pt>
                <c:pt idx="57">
                  <c:v>OCT</c:v>
                </c:pt>
                <c:pt idx="58">
                  <c:v>NOV</c:v>
                </c:pt>
                <c:pt idx="59">
                  <c:v>DEC</c:v>
                </c:pt>
                <c:pt idx="60">
                  <c:v>JAN 12</c:v>
                </c:pt>
                <c:pt idx="61">
                  <c:v>FEB</c:v>
                </c:pt>
                <c:pt idx="62">
                  <c:v>MAR</c:v>
                </c:pt>
                <c:pt idx="63">
                  <c:v>APR</c:v>
                </c:pt>
                <c:pt idx="64">
                  <c:v>MAY</c:v>
                </c:pt>
                <c:pt idx="65">
                  <c:v>JUN</c:v>
                </c:pt>
                <c:pt idx="66">
                  <c:v>JUL</c:v>
                </c:pt>
              </c:strCache>
            </c:strRef>
          </c:cat>
          <c:val>
            <c:numRef>
              <c:f>Data!$I$12:$I$78</c:f>
              <c:numCache>
                <c:formatCode>General</c:formatCode>
                <c:ptCount val="67"/>
                <c:pt idx="0">
                  <c:v>801</c:v>
                </c:pt>
                <c:pt idx="1">
                  <c:v>636</c:v>
                </c:pt>
                <c:pt idx="2">
                  <c:v>150</c:v>
                </c:pt>
                <c:pt idx="3">
                  <c:v>205</c:v>
                </c:pt>
                <c:pt idx="4">
                  <c:v>0</c:v>
                </c:pt>
                <c:pt idx="5">
                  <c:v>0</c:v>
                </c:pt>
                <c:pt idx="6">
                  <c:v>0</c:v>
                </c:pt>
                <c:pt idx="7">
                  <c:v>0</c:v>
                </c:pt>
                <c:pt idx="8">
                  <c:v>0</c:v>
                </c:pt>
                <c:pt idx="9">
                  <c:v>77</c:v>
                </c:pt>
                <c:pt idx="10">
                  <c:v>349</c:v>
                </c:pt>
                <c:pt idx="11">
                  <c:v>745</c:v>
                </c:pt>
                <c:pt idx="12">
                  <c:v>762</c:v>
                </c:pt>
                <c:pt idx="13">
                  <c:v>652</c:v>
                </c:pt>
                <c:pt idx="14">
                  <c:v>361</c:v>
                </c:pt>
                <c:pt idx="15">
                  <c:v>160</c:v>
                </c:pt>
                <c:pt idx="16">
                  <c:v>19</c:v>
                </c:pt>
                <c:pt idx="17">
                  <c:v>0</c:v>
                </c:pt>
                <c:pt idx="18">
                  <c:v>0</c:v>
                </c:pt>
                <c:pt idx="19">
                  <c:v>0</c:v>
                </c:pt>
                <c:pt idx="20">
                  <c:v>0</c:v>
                </c:pt>
                <c:pt idx="21">
                  <c:v>111</c:v>
                </c:pt>
                <c:pt idx="22">
                  <c:v>387</c:v>
                </c:pt>
                <c:pt idx="23">
                  <c:v>713</c:v>
                </c:pt>
                <c:pt idx="24">
                  <c:v>808</c:v>
                </c:pt>
                <c:pt idx="25">
                  <c:v>452</c:v>
                </c:pt>
                <c:pt idx="26">
                  <c:v>321</c:v>
                </c:pt>
                <c:pt idx="27">
                  <c:v>157</c:v>
                </c:pt>
                <c:pt idx="28">
                  <c:v>20</c:v>
                </c:pt>
                <c:pt idx="29">
                  <c:v>0</c:v>
                </c:pt>
                <c:pt idx="30">
                  <c:v>0</c:v>
                </c:pt>
                <c:pt idx="31">
                  <c:v>0</c:v>
                </c:pt>
                <c:pt idx="32">
                  <c:v>5</c:v>
                </c:pt>
                <c:pt idx="33">
                  <c:v>209</c:v>
                </c:pt>
                <c:pt idx="34">
                  <c:v>238</c:v>
                </c:pt>
                <c:pt idx="35">
                  <c:v>840</c:v>
                </c:pt>
                <c:pt idx="36">
                  <c:v>902</c:v>
                </c:pt>
                <c:pt idx="37">
                  <c:v>700</c:v>
                </c:pt>
                <c:pt idx="38">
                  <c:v>346</c:v>
                </c:pt>
                <c:pt idx="39">
                  <c:v>50</c:v>
                </c:pt>
                <c:pt idx="40">
                  <c:v>15</c:v>
                </c:pt>
                <c:pt idx="41">
                  <c:v>0</c:v>
                </c:pt>
                <c:pt idx="42">
                  <c:v>0</c:v>
                </c:pt>
                <c:pt idx="43">
                  <c:v>0</c:v>
                </c:pt>
                <c:pt idx="44">
                  <c:v>6</c:v>
                </c:pt>
                <c:pt idx="45">
                  <c:v>63</c:v>
                </c:pt>
                <c:pt idx="46">
                  <c:v>319</c:v>
                </c:pt>
                <c:pt idx="47">
                  <c:v>724</c:v>
                </c:pt>
                <c:pt idx="48">
                  <c:v>854</c:v>
                </c:pt>
                <c:pt idx="49">
                  <c:v>708</c:v>
                </c:pt>
                <c:pt idx="50">
                  <c:v>361</c:v>
                </c:pt>
                <c:pt idx="51">
                  <c:v>85</c:v>
                </c:pt>
                <c:pt idx="52">
                  <c:v>53</c:v>
                </c:pt>
                <c:pt idx="53">
                  <c:v>0</c:v>
                </c:pt>
                <c:pt idx="54">
                  <c:v>0</c:v>
                </c:pt>
              </c:numCache>
            </c:numRef>
          </c:val>
          <c:smooth val="0"/>
        </c:ser>
        <c:dLbls>
          <c:showLegendKey val="0"/>
          <c:showVal val="0"/>
          <c:showCatName val="0"/>
          <c:showSerName val="0"/>
          <c:showPercent val="0"/>
          <c:showBubbleSize val="0"/>
        </c:dLbls>
        <c:marker val="1"/>
        <c:smooth val="0"/>
        <c:axId val="44929024"/>
        <c:axId val="44930560"/>
      </c:lineChart>
      <c:catAx>
        <c:axId val="44925312"/>
        <c:scaling>
          <c:orientation val="minMax"/>
        </c:scaling>
        <c:delete val="0"/>
        <c:axPos val="b"/>
        <c:majorGridlines>
          <c:spPr>
            <a:ln w="3175">
              <a:solidFill>
                <a:srgbClr val="969696"/>
              </a:solidFill>
              <a:prstDash val="lgDash"/>
            </a:ln>
          </c:spPr>
        </c:majorGridlines>
        <c:numFmt formatCode="General" sourceLinked="1"/>
        <c:majorTickMark val="out"/>
        <c:minorTickMark val="out"/>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44926848"/>
        <c:crosses val="autoZero"/>
        <c:auto val="1"/>
        <c:lblAlgn val="ctr"/>
        <c:lblOffset val="100"/>
        <c:tickLblSkip val="2"/>
        <c:tickMarkSkip val="12"/>
        <c:noMultiLvlLbl val="0"/>
      </c:catAx>
      <c:valAx>
        <c:axId val="44926848"/>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MMBtu</a:t>
                </a:r>
              </a:p>
            </c:rich>
          </c:tx>
          <c:layout>
            <c:manualLayout>
              <c:xMode val="edge"/>
              <c:yMode val="edge"/>
              <c:x val="1.3318534961154272E-2"/>
              <c:y val="0.492659053833605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4925312"/>
        <c:crosses val="autoZero"/>
        <c:crossBetween val="midCat"/>
      </c:valAx>
      <c:catAx>
        <c:axId val="44929024"/>
        <c:scaling>
          <c:orientation val="minMax"/>
        </c:scaling>
        <c:delete val="1"/>
        <c:axPos val="b"/>
        <c:majorTickMark val="out"/>
        <c:minorTickMark val="none"/>
        <c:tickLblPos val="nextTo"/>
        <c:crossAx val="44930560"/>
        <c:crosses val="autoZero"/>
        <c:auto val="1"/>
        <c:lblAlgn val="ctr"/>
        <c:lblOffset val="100"/>
        <c:noMultiLvlLbl val="0"/>
      </c:catAx>
      <c:valAx>
        <c:axId val="44930560"/>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US"/>
                  <a:t>Heating Degree Days</a:t>
                </a:r>
              </a:p>
            </c:rich>
          </c:tx>
          <c:layout>
            <c:manualLayout>
              <c:xMode val="edge"/>
              <c:yMode val="edge"/>
              <c:x val="0.96559378468368484"/>
              <c:y val="0.419249592169657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4929024"/>
        <c:crosses val="max"/>
        <c:crossBetween val="midCat"/>
      </c:valAx>
      <c:spPr>
        <a:noFill/>
        <a:ln w="12700">
          <a:solidFill>
            <a:srgbClr val="808080"/>
          </a:solidFill>
          <a:prstDash val="solid"/>
        </a:ln>
      </c:spPr>
    </c:plotArea>
    <c:legend>
      <c:legendPos val="b"/>
      <c:layout>
        <c:manualLayout>
          <c:xMode val="edge"/>
          <c:yMode val="edge"/>
          <c:x val="0.17869034406215317"/>
          <c:y val="0.9559543230016313"/>
          <c:w val="0.70699223085460594"/>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2000" b="1" i="0" u="none" strike="noStrike" baseline="0">
                <a:solidFill>
                  <a:srgbClr val="000000"/>
                </a:solidFill>
                <a:latin typeface="Arial"/>
                <a:cs typeface="Arial"/>
              </a:rPr>
              <a:t>Annual Energy Use Index</a:t>
            </a:r>
          </a:p>
          <a:p>
            <a:pPr>
              <a:defRPr sz="1000" b="0" i="0" u="none" strike="noStrike" baseline="0">
                <a:solidFill>
                  <a:srgbClr val="000000"/>
                </a:solidFill>
                <a:latin typeface="Arial"/>
                <a:ea typeface="Arial"/>
                <a:cs typeface="Arial"/>
              </a:defRPr>
            </a:pPr>
            <a:r>
              <a:rPr lang="en-US" sz="1600" b="1" i="0" u="none" strike="noStrike" baseline="0">
                <a:solidFill>
                  <a:srgbClr val="000000"/>
                </a:solidFill>
                <a:latin typeface="Arial"/>
                <a:cs typeface="Arial"/>
              </a:rPr>
              <a:t>Rolling 12 Month</a:t>
            </a:r>
            <a:r>
              <a:rPr lang="en-US" sz="2000" b="1" i="0" u="none" strike="noStrike" baseline="0">
                <a:solidFill>
                  <a:srgbClr val="000000"/>
                </a:solidFill>
                <a:latin typeface="Arial"/>
                <a:cs typeface="Arial"/>
              </a:rPr>
              <a:t> </a:t>
            </a:r>
          </a:p>
        </c:rich>
      </c:tx>
      <c:layout>
        <c:manualLayout>
          <c:xMode val="edge"/>
          <c:yMode val="edge"/>
          <c:x val="0.31076581576026635"/>
          <c:y val="1.9575856443719411E-2"/>
        </c:manualLayout>
      </c:layout>
      <c:overlay val="0"/>
      <c:spPr>
        <a:noFill/>
        <a:ln w="25400">
          <a:noFill/>
        </a:ln>
      </c:spPr>
    </c:title>
    <c:autoTitleDeleted val="0"/>
    <c:plotArea>
      <c:layout>
        <c:manualLayout>
          <c:layoutTarget val="inner"/>
          <c:xMode val="edge"/>
          <c:yMode val="edge"/>
          <c:x val="0.11098779134295228"/>
          <c:y val="0.19902120717781402"/>
          <c:w val="0.86570477247502775"/>
          <c:h val="0.65089722675367045"/>
        </c:manualLayout>
      </c:layout>
      <c:lineChart>
        <c:grouping val="standard"/>
        <c:varyColors val="0"/>
        <c:ser>
          <c:idx val="0"/>
          <c:order val="0"/>
          <c:tx>
            <c:v>Total Energy Use Index</c:v>
          </c:tx>
          <c:spPr>
            <a:ln w="12700">
              <a:solidFill>
                <a:srgbClr val="000080"/>
              </a:solidFill>
              <a:prstDash val="solid"/>
            </a:ln>
          </c:spPr>
          <c:marker>
            <c:symbol val="diamond"/>
            <c:size val="5"/>
            <c:spPr>
              <a:solidFill>
                <a:srgbClr val="000080"/>
              </a:solidFill>
              <a:ln>
                <a:solidFill>
                  <a:srgbClr val="000080"/>
                </a:solidFill>
                <a:prstDash val="solid"/>
              </a:ln>
            </c:spPr>
          </c:marker>
          <c:cat>
            <c:strRef>
              <c:f>Data!$A$24:$A$84</c:f>
              <c:strCache>
                <c:ptCount val="61"/>
                <c:pt idx="0">
                  <c:v>JAN 8</c:v>
                </c:pt>
                <c:pt idx="1">
                  <c:v>FEB</c:v>
                </c:pt>
                <c:pt idx="2">
                  <c:v>MAR</c:v>
                </c:pt>
                <c:pt idx="3">
                  <c:v>APR</c:v>
                </c:pt>
                <c:pt idx="4">
                  <c:v>MAY</c:v>
                </c:pt>
                <c:pt idx="5">
                  <c:v>JUN</c:v>
                </c:pt>
                <c:pt idx="6">
                  <c:v>JUL</c:v>
                </c:pt>
                <c:pt idx="7">
                  <c:v>AUG</c:v>
                </c:pt>
                <c:pt idx="8">
                  <c:v>SEP</c:v>
                </c:pt>
                <c:pt idx="9">
                  <c:v>OCT</c:v>
                </c:pt>
                <c:pt idx="10">
                  <c:v>NOV</c:v>
                </c:pt>
                <c:pt idx="11">
                  <c:v>DEC</c:v>
                </c:pt>
                <c:pt idx="12">
                  <c:v>JAN 9</c:v>
                </c:pt>
                <c:pt idx="13">
                  <c:v>FEB</c:v>
                </c:pt>
                <c:pt idx="14">
                  <c:v>MAR</c:v>
                </c:pt>
                <c:pt idx="15">
                  <c:v>APR</c:v>
                </c:pt>
                <c:pt idx="16">
                  <c:v>MAY</c:v>
                </c:pt>
                <c:pt idx="17">
                  <c:v>JUN</c:v>
                </c:pt>
                <c:pt idx="18">
                  <c:v>JUL</c:v>
                </c:pt>
                <c:pt idx="19">
                  <c:v>AUG</c:v>
                </c:pt>
                <c:pt idx="20">
                  <c:v>SEP</c:v>
                </c:pt>
                <c:pt idx="21">
                  <c:v>OCT</c:v>
                </c:pt>
                <c:pt idx="22">
                  <c:v>NOV</c:v>
                </c:pt>
                <c:pt idx="23">
                  <c:v>DEC</c:v>
                </c:pt>
                <c:pt idx="24">
                  <c:v>JAN 10</c:v>
                </c:pt>
                <c:pt idx="25">
                  <c:v>FEB</c:v>
                </c:pt>
                <c:pt idx="26">
                  <c:v>MAR</c:v>
                </c:pt>
                <c:pt idx="27">
                  <c:v>APR</c:v>
                </c:pt>
                <c:pt idx="28">
                  <c:v>MAY</c:v>
                </c:pt>
                <c:pt idx="29">
                  <c:v>JUN</c:v>
                </c:pt>
                <c:pt idx="30">
                  <c:v>JUL</c:v>
                </c:pt>
                <c:pt idx="31">
                  <c:v>AUG</c:v>
                </c:pt>
                <c:pt idx="32">
                  <c:v>SEP</c:v>
                </c:pt>
                <c:pt idx="33">
                  <c:v>OCT</c:v>
                </c:pt>
                <c:pt idx="34">
                  <c:v>NOV</c:v>
                </c:pt>
                <c:pt idx="35">
                  <c:v>DEC</c:v>
                </c:pt>
                <c:pt idx="36">
                  <c:v>JAN 11</c:v>
                </c:pt>
                <c:pt idx="37">
                  <c:v>FEB</c:v>
                </c:pt>
                <c:pt idx="38">
                  <c:v>MAR</c:v>
                </c:pt>
                <c:pt idx="39">
                  <c:v>APR</c:v>
                </c:pt>
                <c:pt idx="40">
                  <c:v>MAY</c:v>
                </c:pt>
                <c:pt idx="41">
                  <c:v>JUN</c:v>
                </c:pt>
                <c:pt idx="42">
                  <c:v>JUL</c:v>
                </c:pt>
                <c:pt idx="43">
                  <c:v>AUG</c:v>
                </c:pt>
                <c:pt idx="44">
                  <c:v>SEP</c:v>
                </c:pt>
                <c:pt idx="45">
                  <c:v>OCT</c:v>
                </c:pt>
                <c:pt idx="46">
                  <c:v>NOV</c:v>
                </c:pt>
                <c:pt idx="47">
                  <c:v>DEC</c:v>
                </c:pt>
                <c:pt idx="48">
                  <c:v>JAN 12</c:v>
                </c:pt>
                <c:pt idx="49">
                  <c:v>FEB</c:v>
                </c:pt>
                <c:pt idx="50">
                  <c:v>MAR</c:v>
                </c:pt>
                <c:pt idx="51">
                  <c:v>APR</c:v>
                </c:pt>
                <c:pt idx="52">
                  <c:v>MAY</c:v>
                </c:pt>
                <c:pt idx="53">
                  <c:v>JUN</c:v>
                </c:pt>
                <c:pt idx="54">
                  <c:v>JUL</c:v>
                </c:pt>
                <c:pt idx="55">
                  <c:v>AUG</c:v>
                </c:pt>
                <c:pt idx="56">
                  <c:v>SEP</c:v>
                </c:pt>
                <c:pt idx="57">
                  <c:v>OCT</c:v>
                </c:pt>
                <c:pt idx="58">
                  <c:v>NOV</c:v>
                </c:pt>
                <c:pt idx="59">
                  <c:v>DEC</c:v>
                </c:pt>
                <c:pt idx="60">
                  <c:v>JAN 13</c:v>
                </c:pt>
              </c:strCache>
            </c:strRef>
          </c:cat>
          <c:val>
            <c:numRef>
              <c:f>Data!$BB$24:$BB$84</c:f>
              <c:numCache>
                <c:formatCode>_(* #,##0_);_(* \(#,##0\);_(* "-"??_);_(@_)</c:formatCode>
                <c:ptCount val="61"/>
                <c:pt idx="0">
                  <c:v>43878.071217025332</c:v>
                </c:pt>
                <c:pt idx="1">
                  <c:v>51782.995525439888</c:v>
                </c:pt>
                <c:pt idx="2">
                  <c:v>56826.425807575572</c:v>
                </c:pt>
                <c:pt idx="3">
                  <c:v>60153.440047312964</c:v>
                </c:pt>
                <c:pt idx="4">
                  <c:v>62105.552855741276</c:v>
                </c:pt>
                <c:pt idx="5">
                  <c:v>64024.639651204365</c:v>
                </c:pt>
                <c:pt idx="6">
                  <c:v>66319.377687716042</c:v>
                </c:pt>
                <c:pt idx="7">
                  <c:v>68115.686634085505</c:v>
                </c:pt>
                <c:pt idx="8">
                  <c:v>70041.678968650565</c:v>
                </c:pt>
                <c:pt idx="9">
                  <c:v>72837.656449143135</c:v>
                </c:pt>
                <c:pt idx="10">
                  <c:v>75156.481693731024</c:v>
                </c:pt>
                <c:pt idx="11">
                  <c:v>76864.550343385796</c:v>
                </c:pt>
                <c:pt idx="12">
                  <c:v>77033.44802450006</c:v>
                </c:pt>
                <c:pt idx="13">
                  <c:v>75798.111378036134</c:v>
                </c:pt>
                <c:pt idx="14">
                  <c:v>75461.481418655618</c:v>
                </c:pt>
                <c:pt idx="15">
                  <c:v>75312.718799570866</c:v>
                </c:pt>
                <c:pt idx="16">
                  <c:v>75363.065853054708</c:v>
                </c:pt>
                <c:pt idx="17">
                  <c:v>75798.518489652575</c:v>
                </c:pt>
                <c:pt idx="18">
                  <c:v>75835.350858693768</c:v>
                </c:pt>
                <c:pt idx="19">
                  <c:v>76914.664499683669</c:v>
                </c:pt>
                <c:pt idx="20">
                  <c:v>77330.858647912624</c:v>
                </c:pt>
                <c:pt idx="21">
                  <c:v>77435.009306718261</c:v>
                </c:pt>
                <c:pt idx="22">
                  <c:v>75900.356910352915</c:v>
                </c:pt>
                <c:pt idx="23">
                  <c:v>76585.433152089201</c:v>
                </c:pt>
                <c:pt idx="24">
                  <c:v>78253.226634635663</c:v>
                </c:pt>
                <c:pt idx="25">
                  <c:v>80998.081348969848</c:v>
                </c:pt>
                <c:pt idx="26">
                  <c:v>83912.618167814362</c:v>
                </c:pt>
                <c:pt idx="27">
                  <c:v>86361.22514005925</c:v>
                </c:pt>
                <c:pt idx="28">
                  <c:v>89632.956556422549</c:v>
                </c:pt>
                <c:pt idx="29">
                  <c:v>90489.542778811869</c:v>
                </c:pt>
                <c:pt idx="30">
                  <c:v>93482.920338159398</c:v>
                </c:pt>
                <c:pt idx="31">
                  <c:v>95386.122903696101</c:v>
                </c:pt>
                <c:pt idx="32">
                  <c:v>97308.915194249086</c:v>
                </c:pt>
                <c:pt idx="33">
                  <c:v>99026.104427797269</c:v>
                </c:pt>
                <c:pt idx="34">
                  <c:v>99619.471442587164</c:v>
                </c:pt>
                <c:pt idx="35">
                  <c:v>99089.732122390225</c:v>
                </c:pt>
                <c:pt idx="36">
                  <c:v>98552.541926078062</c:v>
                </c:pt>
                <c:pt idx="37">
                  <c:v>96105.924666012594</c:v>
                </c:pt>
                <c:pt idx="38">
                  <c:v>93699.893866735118</c:v>
                </c:pt>
                <c:pt idx="39">
                  <c:v>91090.295797764556</c:v>
                </c:pt>
                <c:pt idx="40">
                  <c:v>89353.269042095722</c:v>
                </c:pt>
                <c:pt idx="41">
                  <c:v>88329.76614005008</c:v>
                </c:pt>
                <c:pt idx="42">
                  <c:v>84853.68303059756</c:v>
                </c:pt>
                <c:pt idx="43">
                  <c:v>77326.426036805104</c:v>
                </c:pt>
                <c:pt idx="44">
                  <c:v>70186.273049027601</c:v>
                </c:pt>
                <c:pt idx="45">
                  <c:v>62811.461704917419</c:v>
                </c:pt>
                <c:pt idx="46">
                  <c:v>55787.461145597415</c:v>
                </c:pt>
                <c:pt idx="47">
                  <c:v>45106.482839878598</c:v>
                </c:pt>
                <c:pt idx="48">
                  <c:v>34201.981459916926</c:v>
                </c:pt>
                <c:pt idx="49">
                  <c:v>25607.629216676902</c:v>
                </c:pt>
                <c:pt idx="50">
                  <c:v>18803.349043196005</c:v>
                </c:pt>
                <c:pt idx="51">
                  <c:v>13779.334271646141</c:v>
                </c:pt>
                <c:pt idx="52">
                  <c:v>7899.7829196504708</c:v>
                </c:pt>
                <c:pt idx="53">
                  <c:v>3811.0245642346945</c:v>
                </c:pt>
                <c:pt idx="54">
                  <c:v>0</c:v>
                </c:pt>
                <c:pt idx="55">
                  <c:v>0</c:v>
                </c:pt>
                <c:pt idx="56">
                  <c:v>0</c:v>
                </c:pt>
                <c:pt idx="57">
                  <c:v>0</c:v>
                </c:pt>
                <c:pt idx="58">
                  <c:v>0</c:v>
                </c:pt>
                <c:pt idx="59">
                  <c:v>0</c:v>
                </c:pt>
                <c:pt idx="60">
                  <c:v>0</c:v>
                </c:pt>
              </c:numCache>
            </c:numRef>
          </c:val>
          <c:smooth val="0"/>
        </c:ser>
        <c:ser>
          <c:idx val="1"/>
          <c:order val="1"/>
          <c:tx>
            <c:v>Electric EUI</c:v>
          </c:tx>
          <c:spPr>
            <a:ln w="12700">
              <a:solidFill>
                <a:srgbClr val="FF0000"/>
              </a:solidFill>
              <a:prstDash val="solid"/>
            </a:ln>
          </c:spPr>
          <c:marker>
            <c:symbol val="square"/>
            <c:size val="5"/>
            <c:spPr>
              <a:solidFill>
                <a:srgbClr val="FF0000"/>
              </a:solidFill>
              <a:ln>
                <a:solidFill>
                  <a:srgbClr val="FF0000"/>
                </a:solidFill>
                <a:prstDash val="solid"/>
              </a:ln>
            </c:spPr>
          </c:marker>
          <c:cat>
            <c:strRef>
              <c:f>Data!$A$24:$A$84</c:f>
              <c:strCache>
                <c:ptCount val="61"/>
                <c:pt idx="0">
                  <c:v>JAN 8</c:v>
                </c:pt>
                <c:pt idx="1">
                  <c:v>FEB</c:v>
                </c:pt>
                <c:pt idx="2">
                  <c:v>MAR</c:v>
                </c:pt>
                <c:pt idx="3">
                  <c:v>APR</c:v>
                </c:pt>
                <c:pt idx="4">
                  <c:v>MAY</c:v>
                </c:pt>
                <c:pt idx="5">
                  <c:v>JUN</c:v>
                </c:pt>
                <c:pt idx="6">
                  <c:v>JUL</c:v>
                </c:pt>
                <c:pt idx="7">
                  <c:v>AUG</c:v>
                </c:pt>
                <c:pt idx="8">
                  <c:v>SEP</c:v>
                </c:pt>
                <c:pt idx="9">
                  <c:v>OCT</c:v>
                </c:pt>
                <c:pt idx="10">
                  <c:v>NOV</c:v>
                </c:pt>
                <c:pt idx="11">
                  <c:v>DEC</c:v>
                </c:pt>
                <c:pt idx="12">
                  <c:v>JAN 9</c:v>
                </c:pt>
                <c:pt idx="13">
                  <c:v>FEB</c:v>
                </c:pt>
                <c:pt idx="14">
                  <c:v>MAR</c:v>
                </c:pt>
                <c:pt idx="15">
                  <c:v>APR</c:v>
                </c:pt>
                <c:pt idx="16">
                  <c:v>MAY</c:v>
                </c:pt>
                <c:pt idx="17">
                  <c:v>JUN</c:v>
                </c:pt>
                <c:pt idx="18">
                  <c:v>JUL</c:v>
                </c:pt>
                <c:pt idx="19">
                  <c:v>AUG</c:v>
                </c:pt>
                <c:pt idx="20">
                  <c:v>SEP</c:v>
                </c:pt>
                <c:pt idx="21">
                  <c:v>OCT</c:v>
                </c:pt>
                <c:pt idx="22">
                  <c:v>NOV</c:v>
                </c:pt>
                <c:pt idx="23">
                  <c:v>DEC</c:v>
                </c:pt>
                <c:pt idx="24">
                  <c:v>JAN 10</c:v>
                </c:pt>
                <c:pt idx="25">
                  <c:v>FEB</c:v>
                </c:pt>
                <c:pt idx="26">
                  <c:v>MAR</c:v>
                </c:pt>
                <c:pt idx="27">
                  <c:v>APR</c:v>
                </c:pt>
                <c:pt idx="28">
                  <c:v>MAY</c:v>
                </c:pt>
                <c:pt idx="29">
                  <c:v>JUN</c:v>
                </c:pt>
                <c:pt idx="30">
                  <c:v>JUL</c:v>
                </c:pt>
                <c:pt idx="31">
                  <c:v>AUG</c:v>
                </c:pt>
                <c:pt idx="32">
                  <c:v>SEP</c:v>
                </c:pt>
                <c:pt idx="33">
                  <c:v>OCT</c:v>
                </c:pt>
                <c:pt idx="34">
                  <c:v>NOV</c:v>
                </c:pt>
                <c:pt idx="35">
                  <c:v>DEC</c:v>
                </c:pt>
                <c:pt idx="36">
                  <c:v>JAN 11</c:v>
                </c:pt>
                <c:pt idx="37">
                  <c:v>FEB</c:v>
                </c:pt>
                <c:pt idx="38">
                  <c:v>MAR</c:v>
                </c:pt>
                <c:pt idx="39">
                  <c:v>APR</c:v>
                </c:pt>
                <c:pt idx="40">
                  <c:v>MAY</c:v>
                </c:pt>
                <c:pt idx="41">
                  <c:v>JUN</c:v>
                </c:pt>
                <c:pt idx="42">
                  <c:v>JUL</c:v>
                </c:pt>
                <c:pt idx="43">
                  <c:v>AUG</c:v>
                </c:pt>
                <c:pt idx="44">
                  <c:v>SEP</c:v>
                </c:pt>
                <c:pt idx="45">
                  <c:v>OCT</c:v>
                </c:pt>
                <c:pt idx="46">
                  <c:v>NOV</c:v>
                </c:pt>
                <c:pt idx="47">
                  <c:v>DEC</c:v>
                </c:pt>
                <c:pt idx="48">
                  <c:v>JAN 12</c:v>
                </c:pt>
                <c:pt idx="49">
                  <c:v>FEB</c:v>
                </c:pt>
                <c:pt idx="50">
                  <c:v>MAR</c:v>
                </c:pt>
                <c:pt idx="51">
                  <c:v>APR</c:v>
                </c:pt>
                <c:pt idx="52">
                  <c:v>MAY</c:v>
                </c:pt>
                <c:pt idx="53">
                  <c:v>JUN</c:v>
                </c:pt>
                <c:pt idx="54">
                  <c:v>JUL</c:v>
                </c:pt>
                <c:pt idx="55">
                  <c:v>AUG</c:v>
                </c:pt>
                <c:pt idx="56">
                  <c:v>SEP</c:v>
                </c:pt>
                <c:pt idx="57">
                  <c:v>OCT</c:v>
                </c:pt>
                <c:pt idx="58">
                  <c:v>NOV</c:v>
                </c:pt>
                <c:pt idx="59">
                  <c:v>DEC</c:v>
                </c:pt>
                <c:pt idx="60">
                  <c:v>JAN 13</c:v>
                </c:pt>
              </c:strCache>
            </c:strRef>
          </c:cat>
          <c:val>
            <c:numRef>
              <c:f>Data!$AZ$24:$AZ$84</c:f>
              <c:numCache>
                <c:formatCode>#,##0</c:formatCode>
                <c:ptCount val="61"/>
                <c:pt idx="0">
                  <c:v>25881.262091856846</c:v>
                </c:pt>
                <c:pt idx="1">
                  <c:v>27106.438369352931</c:v>
                </c:pt>
                <c:pt idx="2">
                  <c:v>27711.985265126856</c:v>
                </c:pt>
                <c:pt idx="3">
                  <c:v>27946.693364264032</c:v>
                </c:pt>
                <c:pt idx="4">
                  <c:v>28005.370389048327</c:v>
                </c:pt>
                <c:pt idx="5">
                  <c:v>28613.264365813622</c:v>
                </c:pt>
                <c:pt idx="6">
                  <c:v>29699.962864818772</c:v>
                </c:pt>
                <c:pt idx="7">
                  <c:v>29958.141773869665</c:v>
                </c:pt>
                <c:pt idx="8">
                  <c:v>30272.65062671349</c:v>
                </c:pt>
                <c:pt idx="9">
                  <c:v>30638.795261367497</c:v>
                </c:pt>
                <c:pt idx="10">
                  <c:v>30695.125205160413</c:v>
                </c:pt>
                <c:pt idx="11">
                  <c:v>31101.170216667742</c:v>
                </c:pt>
                <c:pt idx="12">
                  <c:v>31462.620689338994</c:v>
                </c:pt>
                <c:pt idx="13">
                  <c:v>31373.43161166686</c:v>
                </c:pt>
                <c:pt idx="14">
                  <c:v>31486.091499252703</c:v>
                </c:pt>
                <c:pt idx="15">
                  <c:v>31692.634626493425</c:v>
                </c:pt>
                <c:pt idx="16">
                  <c:v>31983.672669423537</c:v>
                </c:pt>
                <c:pt idx="17">
                  <c:v>32274.710712353637</c:v>
                </c:pt>
                <c:pt idx="18">
                  <c:v>32183.174553690136</c:v>
                </c:pt>
                <c:pt idx="19">
                  <c:v>32462.477191663373</c:v>
                </c:pt>
                <c:pt idx="20">
                  <c:v>32223.074930543447</c:v>
                </c:pt>
                <c:pt idx="21">
                  <c:v>31774.78246119144</c:v>
                </c:pt>
                <c:pt idx="22">
                  <c:v>32218.38076856071</c:v>
                </c:pt>
                <c:pt idx="23">
                  <c:v>32302.875684250095</c:v>
                </c:pt>
                <c:pt idx="24">
                  <c:v>32751.168153602113</c:v>
                </c:pt>
                <c:pt idx="25">
                  <c:v>32694.83820980919</c:v>
                </c:pt>
                <c:pt idx="26">
                  <c:v>33229.972675841957</c:v>
                </c:pt>
                <c:pt idx="27">
                  <c:v>33837.866652607256</c:v>
                </c:pt>
                <c:pt idx="28">
                  <c:v>34748.534077259508</c:v>
                </c:pt>
                <c:pt idx="29">
                  <c:v>35109.98454993077</c:v>
                </c:pt>
                <c:pt idx="30">
                  <c:v>35978.404516738337</c:v>
                </c:pt>
                <c:pt idx="31">
                  <c:v>37182.457065312068</c:v>
                </c:pt>
                <c:pt idx="32">
                  <c:v>38341.91507504975</c:v>
                </c:pt>
                <c:pt idx="33">
                  <c:v>39433.307736037634</c:v>
                </c:pt>
                <c:pt idx="34">
                  <c:v>39320.647848451787</c:v>
                </c:pt>
                <c:pt idx="35">
                  <c:v>39311.25952448629</c:v>
                </c:pt>
                <c:pt idx="36">
                  <c:v>38982.668185694238</c:v>
                </c:pt>
                <c:pt idx="37">
                  <c:v>38656.423927893549</c:v>
                </c:pt>
                <c:pt idx="38">
                  <c:v>38104.859894921188</c:v>
                </c:pt>
                <c:pt idx="39">
                  <c:v>37670.649911517401</c:v>
                </c:pt>
                <c:pt idx="40">
                  <c:v>36907.848589321562</c:v>
                </c:pt>
                <c:pt idx="41">
                  <c:v>36368.019961306047</c:v>
                </c:pt>
                <c:pt idx="42">
                  <c:v>35344.692649067947</c:v>
                </c:pt>
                <c:pt idx="43">
                  <c:v>30854.726712573694</c:v>
                </c:pt>
                <c:pt idx="44">
                  <c:v>26744.987896681669</c:v>
                </c:pt>
                <c:pt idx="45">
                  <c:v>23581.122720312487</c:v>
                </c:pt>
                <c:pt idx="46">
                  <c:v>20813.914231485127</c:v>
                </c:pt>
                <c:pt idx="47">
                  <c:v>18013.846608778571</c:v>
                </c:pt>
                <c:pt idx="48">
                  <c:v>15556.452810812294</c:v>
                </c:pt>
                <c:pt idx="49">
                  <c:v>13176.512685561287</c:v>
                </c:pt>
                <c:pt idx="50">
                  <c:v>10885.761637982409</c:v>
                </c:pt>
                <c:pt idx="51">
                  <c:v>8264.0721706201111</c:v>
                </c:pt>
                <c:pt idx="52">
                  <c:v>5424.1041710602321</c:v>
                </c:pt>
                <c:pt idx="53">
                  <c:v>2802.4147036979307</c:v>
                </c:pt>
                <c:pt idx="54">
                  <c:v>0</c:v>
                </c:pt>
                <c:pt idx="55">
                  <c:v>0</c:v>
                </c:pt>
                <c:pt idx="56">
                  <c:v>0</c:v>
                </c:pt>
                <c:pt idx="57">
                  <c:v>0</c:v>
                </c:pt>
                <c:pt idx="58">
                  <c:v>0</c:v>
                </c:pt>
                <c:pt idx="59">
                  <c:v>0</c:v>
                </c:pt>
                <c:pt idx="60">
                  <c:v>0</c:v>
                </c:pt>
              </c:numCache>
            </c:numRef>
          </c:val>
          <c:smooth val="0"/>
        </c:ser>
        <c:ser>
          <c:idx val="2"/>
          <c:order val="2"/>
          <c:tx>
            <c:v>Gas EUI</c:v>
          </c:tx>
          <c:spPr>
            <a:ln w="12700">
              <a:solidFill>
                <a:srgbClr val="008000"/>
              </a:solidFill>
              <a:prstDash val="solid"/>
            </a:ln>
          </c:spPr>
          <c:marker>
            <c:symbol val="triangle"/>
            <c:size val="5"/>
            <c:spPr>
              <a:solidFill>
                <a:srgbClr val="008000"/>
              </a:solidFill>
              <a:ln>
                <a:solidFill>
                  <a:srgbClr val="008000"/>
                </a:solidFill>
                <a:prstDash val="solid"/>
              </a:ln>
            </c:spPr>
          </c:marker>
          <c:cat>
            <c:strRef>
              <c:f>Data!$A$24:$A$84</c:f>
              <c:strCache>
                <c:ptCount val="61"/>
                <c:pt idx="0">
                  <c:v>JAN 8</c:v>
                </c:pt>
                <c:pt idx="1">
                  <c:v>FEB</c:v>
                </c:pt>
                <c:pt idx="2">
                  <c:v>MAR</c:v>
                </c:pt>
                <c:pt idx="3">
                  <c:v>APR</c:v>
                </c:pt>
                <c:pt idx="4">
                  <c:v>MAY</c:v>
                </c:pt>
                <c:pt idx="5">
                  <c:v>JUN</c:v>
                </c:pt>
                <c:pt idx="6">
                  <c:v>JUL</c:v>
                </c:pt>
                <c:pt idx="7">
                  <c:v>AUG</c:v>
                </c:pt>
                <c:pt idx="8">
                  <c:v>SEP</c:v>
                </c:pt>
                <c:pt idx="9">
                  <c:v>OCT</c:v>
                </c:pt>
                <c:pt idx="10">
                  <c:v>NOV</c:v>
                </c:pt>
                <c:pt idx="11">
                  <c:v>DEC</c:v>
                </c:pt>
                <c:pt idx="12">
                  <c:v>JAN 9</c:v>
                </c:pt>
                <c:pt idx="13">
                  <c:v>FEB</c:v>
                </c:pt>
                <c:pt idx="14">
                  <c:v>MAR</c:v>
                </c:pt>
                <c:pt idx="15">
                  <c:v>APR</c:v>
                </c:pt>
                <c:pt idx="16">
                  <c:v>MAY</c:v>
                </c:pt>
                <c:pt idx="17">
                  <c:v>JUN</c:v>
                </c:pt>
                <c:pt idx="18">
                  <c:v>JUL</c:v>
                </c:pt>
                <c:pt idx="19">
                  <c:v>AUG</c:v>
                </c:pt>
                <c:pt idx="20">
                  <c:v>SEP</c:v>
                </c:pt>
                <c:pt idx="21">
                  <c:v>OCT</c:v>
                </c:pt>
                <c:pt idx="22">
                  <c:v>NOV</c:v>
                </c:pt>
                <c:pt idx="23">
                  <c:v>DEC</c:v>
                </c:pt>
                <c:pt idx="24">
                  <c:v>JAN 10</c:v>
                </c:pt>
                <c:pt idx="25">
                  <c:v>FEB</c:v>
                </c:pt>
                <c:pt idx="26">
                  <c:v>MAR</c:v>
                </c:pt>
                <c:pt idx="27">
                  <c:v>APR</c:v>
                </c:pt>
                <c:pt idx="28">
                  <c:v>MAY</c:v>
                </c:pt>
                <c:pt idx="29">
                  <c:v>JUN</c:v>
                </c:pt>
                <c:pt idx="30">
                  <c:v>JUL</c:v>
                </c:pt>
                <c:pt idx="31">
                  <c:v>AUG</c:v>
                </c:pt>
                <c:pt idx="32">
                  <c:v>SEP</c:v>
                </c:pt>
                <c:pt idx="33">
                  <c:v>OCT</c:v>
                </c:pt>
                <c:pt idx="34">
                  <c:v>NOV</c:v>
                </c:pt>
                <c:pt idx="35">
                  <c:v>DEC</c:v>
                </c:pt>
                <c:pt idx="36">
                  <c:v>JAN 11</c:v>
                </c:pt>
                <c:pt idx="37">
                  <c:v>FEB</c:v>
                </c:pt>
                <c:pt idx="38">
                  <c:v>MAR</c:v>
                </c:pt>
                <c:pt idx="39">
                  <c:v>APR</c:v>
                </c:pt>
                <c:pt idx="40">
                  <c:v>MAY</c:v>
                </c:pt>
                <c:pt idx="41">
                  <c:v>JUN</c:v>
                </c:pt>
                <c:pt idx="42">
                  <c:v>JUL</c:v>
                </c:pt>
                <c:pt idx="43">
                  <c:v>AUG</c:v>
                </c:pt>
                <c:pt idx="44">
                  <c:v>SEP</c:v>
                </c:pt>
                <c:pt idx="45">
                  <c:v>OCT</c:v>
                </c:pt>
                <c:pt idx="46">
                  <c:v>NOV</c:v>
                </c:pt>
                <c:pt idx="47">
                  <c:v>DEC</c:v>
                </c:pt>
                <c:pt idx="48">
                  <c:v>JAN 12</c:v>
                </c:pt>
                <c:pt idx="49">
                  <c:v>FEB</c:v>
                </c:pt>
                <c:pt idx="50">
                  <c:v>MAR</c:v>
                </c:pt>
                <c:pt idx="51">
                  <c:v>APR</c:v>
                </c:pt>
                <c:pt idx="52">
                  <c:v>MAY</c:v>
                </c:pt>
                <c:pt idx="53">
                  <c:v>JUN</c:v>
                </c:pt>
                <c:pt idx="54">
                  <c:v>JUL</c:v>
                </c:pt>
                <c:pt idx="55">
                  <c:v>AUG</c:v>
                </c:pt>
                <c:pt idx="56">
                  <c:v>SEP</c:v>
                </c:pt>
                <c:pt idx="57">
                  <c:v>OCT</c:v>
                </c:pt>
                <c:pt idx="58">
                  <c:v>NOV</c:v>
                </c:pt>
                <c:pt idx="59">
                  <c:v>DEC</c:v>
                </c:pt>
                <c:pt idx="60">
                  <c:v>JAN 13</c:v>
                </c:pt>
              </c:strCache>
            </c:strRef>
          </c:cat>
          <c:val>
            <c:numRef>
              <c:f>Data!$BA$24:$BA$84</c:f>
              <c:numCache>
                <c:formatCode>#,##0</c:formatCode>
                <c:ptCount val="61"/>
                <c:pt idx="0">
                  <c:v>17996.809125168485</c:v>
                </c:pt>
                <c:pt idx="1">
                  <c:v>24676.557156086961</c:v>
                </c:pt>
                <c:pt idx="2">
                  <c:v>29114.440542448723</c:v>
                </c:pt>
                <c:pt idx="3">
                  <c:v>32206.746683048936</c:v>
                </c:pt>
                <c:pt idx="4">
                  <c:v>34100.182466692953</c:v>
                </c:pt>
                <c:pt idx="5">
                  <c:v>35411.375285390743</c:v>
                </c:pt>
                <c:pt idx="6">
                  <c:v>36619.414822897277</c:v>
                </c:pt>
                <c:pt idx="7">
                  <c:v>38157.544860215843</c:v>
                </c:pt>
                <c:pt idx="8">
                  <c:v>39769.028341937083</c:v>
                </c:pt>
                <c:pt idx="9">
                  <c:v>42198.861187775648</c:v>
                </c:pt>
                <c:pt idx="10">
                  <c:v>44461.356488570615</c:v>
                </c:pt>
                <c:pt idx="11">
                  <c:v>45763.380126718075</c:v>
                </c:pt>
                <c:pt idx="12">
                  <c:v>45570.827335161055</c:v>
                </c:pt>
                <c:pt idx="13">
                  <c:v>44424.679766369278</c:v>
                </c:pt>
                <c:pt idx="14">
                  <c:v>43975.3899194029</c:v>
                </c:pt>
                <c:pt idx="15">
                  <c:v>43620.084173077455</c:v>
                </c:pt>
                <c:pt idx="16">
                  <c:v>43379.393183631182</c:v>
                </c:pt>
                <c:pt idx="17">
                  <c:v>43523.807777298942</c:v>
                </c:pt>
                <c:pt idx="18">
                  <c:v>43652.176305003624</c:v>
                </c:pt>
                <c:pt idx="19">
                  <c:v>44452.187308020286</c:v>
                </c:pt>
                <c:pt idx="20">
                  <c:v>45107.783717369181</c:v>
                </c:pt>
                <c:pt idx="21">
                  <c:v>45660.226845526813</c:v>
                </c:pt>
                <c:pt idx="22">
                  <c:v>43681.976141792205</c:v>
                </c:pt>
                <c:pt idx="23">
                  <c:v>44282.557467839099</c:v>
                </c:pt>
                <c:pt idx="24">
                  <c:v>45502.058481033549</c:v>
                </c:pt>
                <c:pt idx="25">
                  <c:v>48303.243139160651</c:v>
                </c:pt>
                <c:pt idx="26">
                  <c:v>50682.645491972384</c:v>
                </c:pt>
                <c:pt idx="27">
                  <c:v>52523.358487451973</c:v>
                </c:pt>
                <c:pt idx="28">
                  <c:v>54884.42247916304</c:v>
                </c:pt>
                <c:pt idx="29">
                  <c:v>55379.558228881084</c:v>
                </c:pt>
                <c:pt idx="30">
                  <c:v>57504.515821421039</c:v>
                </c:pt>
                <c:pt idx="31">
                  <c:v>58203.665838384026</c:v>
                </c:pt>
                <c:pt idx="32">
                  <c:v>58967.000119199351</c:v>
                </c:pt>
                <c:pt idx="33">
                  <c:v>59592.796691759657</c:v>
                </c:pt>
                <c:pt idx="34">
                  <c:v>60298.823594135392</c:v>
                </c:pt>
                <c:pt idx="35">
                  <c:v>59778.472597903929</c:v>
                </c:pt>
                <c:pt idx="36">
                  <c:v>59569.873740383824</c:v>
                </c:pt>
                <c:pt idx="37">
                  <c:v>57449.500738119037</c:v>
                </c:pt>
                <c:pt idx="38">
                  <c:v>55595.033971813937</c:v>
                </c:pt>
                <c:pt idx="39">
                  <c:v>53419.645886247148</c:v>
                </c:pt>
                <c:pt idx="40">
                  <c:v>52445.420452774139</c:v>
                </c:pt>
                <c:pt idx="41">
                  <c:v>51961.746178744004</c:v>
                </c:pt>
                <c:pt idx="42">
                  <c:v>49508.990381529606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ser>
        <c:dLbls>
          <c:showLegendKey val="0"/>
          <c:showVal val="0"/>
          <c:showCatName val="0"/>
          <c:showSerName val="0"/>
          <c:showPercent val="0"/>
          <c:showBubbleSize val="0"/>
        </c:dLbls>
        <c:marker val="1"/>
        <c:smooth val="0"/>
        <c:axId val="45505920"/>
        <c:axId val="45508096"/>
      </c:lineChart>
      <c:catAx>
        <c:axId val="45505920"/>
        <c:scaling>
          <c:orientation val="minMax"/>
        </c:scaling>
        <c:delete val="0"/>
        <c:axPos val="b"/>
        <c:majorGridlines>
          <c:spPr>
            <a:ln w="3175">
              <a:solidFill>
                <a:srgbClr val="969696"/>
              </a:solidFill>
              <a:prstDash val="lgDash"/>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45508096"/>
        <c:crosses val="autoZero"/>
        <c:auto val="1"/>
        <c:lblAlgn val="ctr"/>
        <c:lblOffset val="100"/>
        <c:tickLblSkip val="3"/>
        <c:tickMarkSkip val="12"/>
        <c:noMultiLvlLbl val="0"/>
      </c:catAx>
      <c:valAx>
        <c:axId val="45508096"/>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Btu/Square Foot/Year</a:t>
                </a:r>
              </a:p>
            </c:rich>
          </c:tx>
          <c:layout>
            <c:manualLayout>
              <c:xMode val="edge"/>
              <c:yMode val="edge"/>
              <c:x val="1.2208657047724751E-2"/>
              <c:y val="0.4094616639477977"/>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5505920"/>
        <c:crosses val="autoZero"/>
        <c:crossBetween val="midCat"/>
      </c:valAx>
      <c:spPr>
        <a:noFill/>
        <a:ln w="12700">
          <a:solidFill>
            <a:srgbClr val="808080"/>
          </a:solidFill>
          <a:prstDash val="solid"/>
        </a:ln>
      </c:spPr>
    </c:plotArea>
    <c:legend>
      <c:legendPos val="b"/>
      <c:layout>
        <c:manualLayout>
          <c:xMode val="edge"/>
          <c:yMode val="edge"/>
          <c:x val="0.18867924528301888"/>
          <c:y val="0.9559543230016313"/>
          <c:w val="0.81132075471698117"/>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2000" b="1" i="0" u="none" strike="noStrike" baseline="0">
                <a:solidFill>
                  <a:srgbClr val="000000"/>
                </a:solidFill>
                <a:latin typeface="Arial"/>
                <a:cs typeface="Arial"/>
              </a:rPr>
              <a:t>Annual Energy Costs</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Rolling 12 Month Total</a:t>
            </a:r>
          </a:p>
        </c:rich>
      </c:tx>
      <c:layout>
        <c:manualLayout>
          <c:xMode val="edge"/>
          <c:yMode val="edge"/>
          <c:x val="0.34073251942286348"/>
          <c:y val="1.9575856443719411E-2"/>
        </c:manualLayout>
      </c:layout>
      <c:overlay val="0"/>
      <c:spPr>
        <a:noFill/>
        <a:ln w="25400">
          <a:noFill/>
        </a:ln>
      </c:spPr>
    </c:title>
    <c:autoTitleDeleted val="0"/>
    <c:plotArea>
      <c:layout>
        <c:manualLayout>
          <c:layoutTarget val="inner"/>
          <c:xMode val="edge"/>
          <c:yMode val="edge"/>
          <c:x val="0.11653718091009989"/>
          <c:y val="0.14845024469820556"/>
          <c:w val="0.86015538290788018"/>
          <c:h val="0.66068515497553015"/>
        </c:manualLayout>
      </c:layout>
      <c:lineChart>
        <c:grouping val="standard"/>
        <c:varyColors val="0"/>
        <c:ser>
          <c:idx val="0"/>
          <c:order val="0"/>
          <c:tx>
            <c:v>Annual Electric Cost</c:v>
          </c:tx>
          <c:spPr>
            <a:ln w="12700">
              <a:solidFill>
                <a:srgbClr val="FF0000"/>
              </a:solidFill>
              <a:prstDash val="solid"/>
            </a:ln>
          </c:spPr>
          <c:marker>
            <c:symbol val="diamond"/>
            <c:size val="5"/>
            <c:spPr>
              <a:solidFill>
                <a:srgbClr val="FF0000"/>
              </a:solidFill>
              <a:ln>
                <a:solidFill>
                  <a:srgbClr val="FF0000"/>
                </a:solidFill>
                <a:prstDash val="solid"/>
              </a:ln>
            </c:spPr>
          </c:marker>
          <c:cat>
            <c:strRef>
              <c:f>Data!$A$24:$A$7784</c:f>
              <c:strCache>
                <c:ptCount val="61"/>
                <c:pt idx="0">
                  <c:v>JAN 8</c:v>
                </c:pt>
                <c:pt idx="1">
                  <c:v>FEB</c:v>
                </c:pt>
                <c:pt idx="2">
                  <c:v>MAR</c:v>
                </c:pt>
                <c:pt idx="3">
                  <c:v>APR</c:v>
                </c:pt>
                <c:pt idx="4">
                  <c:v>MAY</c:v>
                </c:pt>
                <c:pt idx="5">
                  <c:v>JUN</c:v>
                </c:pt>
                <c:pt idx="6">
                  <c:v>JUL</c:v>
                </c:pt>
                <c:pt idx="7">
                  <c:v>AUG</c:v>
                </c:pt>
                <c:pt idx="8">
                  <c:v>SEP</c:v>
                </c:pt>
                <c:pt idx="9">
                  <c:v>OCT</c:v>
                </c:pt>
                <c:pt idx="10">
                  <c:v>NOV</c:v>
                </c:pt>
                <c:pt idx="11">
                  <c:v>DEC</c:v>
                </c:pt>
                <c:pt idx="12">
                  <c:v>JAN 9</c:v>
                </c:pt>
                <c:pt idx="13">
                  <c:v>FEB</c:v>
                </c:pt>
                <c:pt idx="14">
                  <c:v>MAR</c:v>
                </c:pt>
                <c:pt idx="15">
                  <c:v>APR</c:v>
                </c:pt>
                <c:pt idx="16">
                  <c:v>MAY</c:v>
                </c:pt>
                <c:pt idx="17">
                  <c:v>JUN</c:v>
                </c:pt>
                <c:pt idx="18">
                  <c:v>JUL</c:v>
                </c:pt>
                <c:pt idx="19">
                  <c:v>AUG</c:v>
                </c:pt>
                <c:pt idx="20">
                  <c:v>SEP</c:v>
                </c:pt>
                <c:pt idx="21">
                  <c:v>OCT</c:v>
                </c:pt>
                <c:pt idx="22">
                  <c:v>NOV</c:v>
                </c:pt>
                <c:pt idx="23">
                  <c:v>DEC</c:v>
                </c:pt>
                <c:pt idx="24">
                  <c:v>JAN 10</c:v>
                </c:pt>
                <c:pt idx="25">
                  <c:v>FEB</c:v>
                </c:pt>
                <c:pt idx="26">
                  <c:v>MAR</c:v>
                </c:pt>
                <c:pt idx="27">
                  <c:v>APR</c:v>
                </c:pt>
                <c:pt idx="28">
                  <c:v>MAY</c:v>
                </c:pt>
                <c:pt idx="29">
                  <c:v>JUN</c:v>
                </c:pt>
                <c:pt idx="30">
                  <c:v>JUL</c:v>
                </c:pt>
                <c:pt idx="31">
                  <c:v>AUG</c:v>
                </c:pt>
                <c:pt idx="32">
                  <c:v>SEP</c:v>
                </c:pt>
                <c:pt idx="33">
                  <c:v>OCT</c:v>
                </c:pt>
                <c:pt idx="34">
                  <c:v>NOV</c:v>
                </c:pt>
                <c:pt idx="35">
                  <c:v>DEC</c:v>
                </c:pt>
                <c:pt idx="36">
                  <c:v>JAN 11</c:v>
                </c:pt>
                <c:pt idx="37">
                  <c:v>FEB</c:v>
                </c:pt>
                <c:pt idx="38">
                  <c:v>MAR</c:v>
                </c:pt>
                <c:pt idx="39">
                  <c:v>APR</c:v>
                </c:pt>
                <c:pt idx="40">
                  <c:v>MAY</c:v>
                </c:pt>
                <c:pt idx="41">
                  <c:v>JUN</c:v>
                </c:pt>
                <c:pt idx="42">
                  <c:v>JUL</c:v>
                </c:pt>
                <c:pt idx="43">
                  <c:v>AUG</c:v>
                </c:pt>
                <c:pt idx="44">
                  <c:v>SEP</c:v>
                </c:pt>
                <c:pt idx="45">
                  <c:v>OCT</c:v>
                </c:pt>
                <c:pt idx="46">
                  <c:v>NOV</c:v>
                </c:pt>
                <c:pt idx="47">
                  <c:v>DEC</c:v>
                </c:pt>
                <c:pt idx="48">
                  <c:v>JAN 12</c:v>
                </c:pt>
                <c:pt idx="49">
                  <c:v>FEB</c:v>
                </c:pt>
                <c:pt idx="50">
                  <c:v>MAR</c:v>
                </c:pt>
                <c:pt idx="51">
                  <c:v>APR</c:v>
                </c:pt>
                <c:pt idx="52">
                  <c:v>MAY</c:v>
                </c:pt>
                <c:pt idx="53">
                  <c:v>JUN</c:v>
                </c:pt>
                <c:pt idx="54">
                  <c:v>JUL</c:v>
                </c:pt>
                <c:pt idx="55">
                  <c:v>AUG</c:v>
                </c:pt>
                <c:pt idx="56">
                  <c:v>SEP</c:v>
                </c:pt>
                <c:pt idx="57">
                  <c:v>OCT</c:v>
                </c:pt>
                <c:pt idx="58">
                  <c:v>NOV</c:v>
                </c:pt>
                <c:pt idx="59">
                  <c:v>DEC</c:v>
                </c:pt>
                <c:pt idx="60">
                  <c:v>JAN 13</c:v>
                </c:pt>
              </c:strCache>
            </c:strRef>
          </c:cat>
          <c:val>
            <c:numRef>
              <c:f>Data!$Y$24:$Y$84</c:f>
              <c:numCache>
                <c:formatCode>"$"#,##0_);[Red]\("$"#,##0\)</c:formatCode>
                <c:ptCount val="61"/>
                <c:pt idx="0">
                  <c:v>239662.37</c:v>
                </c:pt>
                <c:pt idx="1">
                  <c:v>251415.13</c:v>
                </c:pt>
                <c:pt idx="2">
                  <c:v>258406.41</c:v>
                </c:pt>
                <c:pt idx="3">
                  <c:v>261980.57</c:v>
                </c:pt>
                <c:pt idx="4">
                  <c:v>266980.12</c:v>
                </c:pt>
                <c:pt idx="5">
                  <c:v>276381.24</c:v>
                </c:pt>
                <c:pt idx="6">
                  <c:v>293473.65999999997</c:v>
                </c:pt>
                <c:pt idx="7">
                  <c:v>301778.97000000003</c:v>
                </c:pt>
                <c:pt idx="8">
                  <c:v>313594.69000000006</c:v>
                </c:pt>
                <c:pt idx="9">
                  <c:v>323652.76</c:v>
                </c:pt>
                <c:pt idx="10">
                  <c:v>325036.88000000006</c:v>
                </c:pt>
                <c:pt idx="11">
                  <c:v>328660.60000000003</c:v>
                </c:pt>
                <c:pt idx="12">
                  <c:v>331709.31</c:v>
                </c:pt>
                <c:pt idx="13">
                  <c:v>326648.01</c:v>
                </c:pt>
                <c:pt idx="14">
                  <c:v>323820.5</c:v>
                </c:pt>
                <c:pt idx="15">
                  <c:v>320869.27999999991</c:v>
                </c:pt>
                <c:pt idx="16">
                  <c:v>312088.26999999996</c:v>
                </c:pt>
                <c:pt idx="17">
                  <c:v>303410.51999999996</c:v>
                </c:pt>
                <c:pt idx="18">
                  <c:v>287083.81</c:v>
                </c:pt>
                <c:pt idx="19">
                  <c:v>273620.12</c:v>
                </c:pt>
                <c:pt idx="20">
                  <c:v>256900.94999999998</c:v>
                </c:pt>
                <c:pt idx="21">
                  <c:v>241887.91999999995</c:v>
                </c:pt>
                <c:pt idx="22">
                  <c:v>237521.69999999998</c:v>
                </c:pt>
                <c:pt idx="23">
                  <c:v>230327.28999999998</c:v>
                </c:pt>
                <c:pt idx="24">
                  <c:v>226108.49999999997</c:v>
                </c:pt>
                <c:pt idx="25">
                  <c:v>222156.25999999998</c:v>
                </c:pt>
                <c:pt idx="26">
                  <c:v>228471.26</c:v>
                </c:pt>
                <c:pt idx="27">
                  <c:v>236485.85</c:v>
                </c:pt>
                <c:pt idx="28">
                  <c:v>248236.74000000005</c:v>
                </c:pt>
                <c:pt idx="29">
                  <c:v>254861.68000000002</c:v>
                </c:pt>
                <c:pt idx="30">
                  <c:v>267708.26</c:v>
                </c:pt>
                <c:pt idx="31">
                  <c:v>283213.14</c:v>
                </c:pt>
                <c:pt idx="32">
                  <c:v>297689.41000000003</c:v>
                </c:pt>
                <c:pt idx="33">
                  <c:v>310019.83</c:v>
                </c:pt>
                <c:pt idx="34">
                  <c:v>313560.52999999997</c:v>
                </c:pt>
                <c:pt idx="35">
                  <c:v>318981.55</c:v>
                </c:pt>
                <c:pt idx="36">
                  <c:v>322551.98</c:v>
                </c:pt>
                <c:pt idx="37">
                  <c:v>325559.56999999995</c:v>
                </c:pt>
                <c:pt idx="38">
                  <c:v>320255.5184</c:v>
                </c:pt>
                <c:pt idx="39">
                  <c:v>316162.61349999998</c:v>
                </c:pt>
                <c:pt idx="40">
                  <c:v>312809.31709999999</c:v>
                </c:pt>
                <c:pt idx="41">
                  <c:v>310000.05809999997</c:v>
                </c:pt>
                <c:pt idx="42">
                  <c:v>305034.35810000001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ser>
        <c:ser>
          <c:idx val="1"/>
          <c:order val="1"/>
          <c:tx>
            <c:v>Annual Gas Cost</c:v>
          </c:tx>
          <c:spPr>
            <a:ln w="12700">
              <a:solidFill>
                <a:srgbClr val="008000"/>
              </a:solidFill>
              <a:prstDash val="solid"/>
            </a:ln>
          </c:spPr>
          <c:marker>
            <c:symbol val="square"/>
            <c:size val="5"/>
            <c:spPr>
              <a:solidFill>
                <a:srgbClr val="008000"/>
              </a:solidFill>
              <a:ln>
                <a:solidFill>
                  <a:srgbClr val="008000"/>
                </a:solidFill>
                <a:prstDash val="solid"/>
              </a:ln>
            </c:spPr>
          </c:marker>
          <c:cat>
            <c:strRef>
              <c:f>Data!$A$24:$A$7784</c:f>
              <c:strCache>
                <c:ptCount val="61"/>
                <c:pt idx="0">
                  <c:v>JAN 8</c:v>
                </c:pt>
                <c:pt idx="1">
                  <c:v>FEB</c:v>
                </c:pt>
                <c:pt idx="2">
                  <c:v>MAR</c:v>
                </c:pt>
                <c:pt idx="3">
                  <c:v>APR</c:v>
                </c:pt>
                <c:pt idx="4">
                  <c:v>MAY</c:v>
                </c:pt>
                <c:pt idx="5">
                  <c:v>JUN</c:v>
                </c:pt>
                <c:pt idx="6">
                  <c:v>JUL</c:v>
                </c:pt>
                <c:pt idx="7">
                  <c:v>AUG</c:v>
                </c:pt>
                <c:pt idx="8">
                  <c:v>SEP</c:v>
                </c:pt>
                <c:pt idx="9">
                  <c:v>OCT</c:v>
                </c:pt>
                <c:pt idx="10">
                  <c:v>NOV</c:v>
                </c:pt>
                <c:pt idx="11">
                  <c:v>DEC</c:v>
                </c:pt>
                <c:pt idx="12">
                  <c:v>JAN 9</c:v>
                </c:pt>
                <c:pt idx="13">
                  <c:v>FEB</c:v>
                </c:pt>
                <c:pt idx="14">
                  <c:v>MAR</c:v>
                </c:pt>
                <c:pt idx="15">
                  <c:v>APR</c:v>
                </c:pt>
                <c:pt idx="16">
                  <c:v>MAY</c:v>
                </c:pt>
                <c:pt idx="17">
                  <c:v>JUN</c:v>
                </c:pt>
                <c:pt idx="18">
                  <c:v>JUL</c:v>
                </c:pt>
                <c:pt idx="19">
                  <c:v>AUG</c:v>
                </c:pt>
                <c:pt idx="20">
                  <c:v>SEP</c:v>
                </c:pt>
                <c:pt idx="21">
                  <c:v>OCT</c:v>
                </c:pt>
                <c:pt idx="22">
                  <c:v>NOV</c:v>
                </c:pt>
                <c:pt idx="23">
                  <c:v>DEC</c:v>
                </c:pt>
                <c:pt idx="24">
                  <c:v>JAN 10</c:v>
                </c:pt>
                <c:pt idx="25">
                  <c:v>FEB</c:v>
                </c:pt>
                <c:pt idx="26">
                  <c:v>MAR</c:v>
                </c:pt>
                <c:pt idx="27">
                  <c:v>APR</c:v>
                </c:pt>
                <c:pt idx="28">
                  <c:v>MAY</c:v>
                </c:pt>
                <c:pt idx="29">
                  <c:v>JUN</c:v>
                </c:pt>
                <c:pt idx="30">
                  <c:v>JUL</c:v>
                </c:pt>
                <c:pt idx="31">
                  <c:v>AUG</c:v>
                </c:pt>
                <c:pt idx="32">
                  <c:v>SEP</c:v>
                </c:pt>
                <c:pt idx="33">
                  <c:v>OCT</c:v>
                </c:pt>
                <c:pt idx="34">
                  <c:v>NOV</c:v>
                </c:pt>
                <c:pt idx="35">
                  <c:v>DEC</c:v>
                </c:pt>
                <c:pt idx="36">
                  <c:v>JAN 11</c:v>
                </c:pt>
                <c:pt idx="37">
                  <c:v>FEB</c:v>
                </c:pt>
                <c:pt idx="38">
                  <c:v>MAR</c:v>
                </c:pt>
                <c:pt idx="39">
                  <c:v>APR</c:v>
                </c:pt>
                <c:pt idx="40">
                  <c:v>MAY</c:v>
                </c:pt>
                <c:pt idx="41">
                  <c:v>JUN</c:v>
                </c:pt>
                <c:pt idx="42">
                  <c:v>JUL</c:v>
                </c:pt>
                <c:pt idx="43">
                  <c:v>AUG</c:v>
                </c:pt>
                <c:pt idx="44">
                  <c:v>SEP</c:v>
                </c:pt>
                <c:pt idx="45">
                  <c:v>OCT</c:v>
                </c:pt>
                <c:pt idx="46">
                  <c:v>NOV</c:v>
                </c:pt>
                <c:pt idx="47">
                  <c:v>DEC</c:v>
                </c:pt>
                <c:pt idx="48">
                  <c:v>JAN 12</c:v>
                </c:pt>
                <c:pt idx="49">
                  <c:v>FEB</c:v>
                </c:pt>
                <c:pt idx="50">
                  <c:v>MAR</c:v>
                </c:pt>
                <c:pt idx="51">
                  <c:v>APR</c:v>
                </c:pt>
                <c:pt idx="52">
                  <c:v>MAY</c:v>
                </c:pt>
                <c:pt idx="53">
                  <c:v>JUN</c:v>
                </c:pt>
                <c:pt idx="54">
                  <c:v>JUL</c:v>
                </c:pt>
                <c:pt idx="55">
                  <c:v>AUG</c:v>
                </c:pt>
                <c:pt idx="56">
                  <c:v>SEP</c:v>
                </c:pt>
                <c:pt idx="57">
                  <c:v>OCT</c:v>
                </c:pt>
                <c:pt idx="58">
                  <c:v>NOV</c:v>
                </c:pt>
                <c:pt idx="59">
                  <c:v>DEC</c:v>
                </c:pt>
                <c:pt idx="60">
                  <c:v>JAN 13</c:v>
                </c:pt>
              </c:strCache>
            </c:strRef>
          </c:cat>
          <c:val>
            <c:numRef>
              <c:f>Data!$AP$24:$AP$84</c:f>
              <c:numCache>
                <c:formatCode>"$"#,##0_);[Red]\("$"#,##0\)</c:formatCode>
                <c:ptCount val="61"/>
                <c:pt idx="0">
                  <c:v>36842.386004319655</c:v>
                </c:pt>
                <c:pt idx="1">
                  <c:v>50516.913174946007</c:v>
                </c:pt>
                <c:pt idx="2">
                  <c:v>59601.979956803458</c:v>
                </c:pt>
                <c:pt idx="3">
                  <c:v>65932.431965442767</c:v>
                </c:pt>
                <c:pt idx="4">
                  <c:v>69808.601987041038</c:v>
                </c:pt>
                <c:pt idx="5">
                  <c:v>72492.826263498922</c:v>
                </c:pt>
                <c:pt idx="6">
                  <c:v>74965.879049676034</c:v>
                </c:pt>
                <c:pt idx="7">
                  <c:v>78114.680604751629</c:v>
                </c:pt>
                <c:pt idx="8">
                  <c:v>81413.64855291578</c:v>
                </c:pt>
                <c:pt idx="9">
                  <c:v>86387.910323974094</c:v>
                </c:pt>
                <c:pt idx="10">
                  <c:v>91019.605010799132</c:v>
                </c:pt>
                <c:pt idx="11">
                  <c:v>93685.058488120936</c:v>
                </c:pt>
                <c:pt idx="12">
                  <c:v>93290.871706263511</c:v>
                </c:pt>
                <c:pt idx="13">
                  <c:v>90944.521814254869</c:v>
                </c:pt>
                <c:pt idx="14">
                  <c:v>90024.752656587472</c:v>
                </c:pt>
                <c:pt idx="15">
                  <c:v>89297.384190064782</c:v>
                </c:pt>
                <c:pt idx="16">
                  <c:v>88804.65071274298</c:v>
                </c:pt>
                <c:pt idx="17">
                  <c:v>89100.29079913607</c:v>
                </c:pt>
                <c:pt idx="18">
                  <c:v>89363.081987041034</c:v>
                </c:pt>
                <c:pt idx="19">
                  <c:v>91000.834211663067</c:v>
                </c:pt>
                <c:pt idx="20">
                  <c:v>92342.946349892009</c:v>
                </c:pt>
                <c:pt idx="21">
                  <c:v>93473.886997840178</c:v>
                </c:pt>
                <c:pt idx="22">
                  <c:v>89424.087084233266</c:v>
                </c:pt>
                <c:pt idx="23">
                  <c:v>90653.574427645799</c:v>
                </c:pt>
                <c:pt idx="24">
                  <c:v>93150.090712742967</c:v>
                </c:pt>
                <c:pt idx="25">
                  <c:v>98884.569848812098</c:v>
                </c:pt>
                <c:pt idx="26">
                  <c:v>103755.59222462203</c:v>
                </c:pt>
                <c:pt idx="27">
                  <c:v>107523.82868250541</c:v>
                </c:pt>
                <c:pt idx="28">
                  <c:v>112357.31213822895</c:v>
                </c:pt>
                <c:pt idx="29">
                  <c:v>113370.93777537797</c:v>
                </c:pt>
                <c:pt idx="30">
                  <c:v>117721.0738012959</c:v>
                </c:pt>
                <c:pt idx="31">
                  <c:v>119152.35002159828</c:v>
                </c:pt>
                <c:pt idx="32">
                  <c:v>120715.0199352052</c:v>
                </c:pt>
                <c:pt idx="33">
                  <c:v>121996.12747300217</c:v>
                </c:pt>
                <c:pt idx="34">
                  <c:v>123441.47550755939</c:v>
                </c:pt>
                <c:pt idx="35">
                  <c:v>122376.23079913607</c:v>
                </c:pt>
                <c:pt idx="36">
                  <c:v>121949.19641468683</c:v>
                </c:pt>
                <c:pt idx="37">
                  <c:v>117608.45000000001</c:v>
                </c:pt>
                <c:pt idx="38">
                  <c:v>113812.05587473002</c:v>
                </c:pt>
                <c:pt idx="39">
                  <c:v>109358.68524838012</c:v>
                </c:pt>
                <c:pt idx="40">
                  <c:v>107364.28516198705</c:v>
                </c:pt>
                <c:pt idx="41">
                  <c:v>106374.12302375809</c:v>
                </c:pt>
                <c:pt idx="42">
                  <c:v>101352.93092872569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ser>
        <c:ser>
          <c:idx val="2"/>
          <c:order val="2"/>
          <c:tx>
            <c:v>Total Annual Cost</c:v>
          </c:tx>
          <c:spPr>
            <a:ln w="12700">
              <a:solidFill>
                <a:srgbClr val="0000FF"/>
              </a:solidFill>
              <a:prstDash val="solid"/>
            </a:ln>
          </c:spPr>
          <c:marker>
            <c:symbol val="triangle"/>
            <c:size val="5"/>
            <c:spPr>
              <a:solidFill>
                <a:srgbClr val="0000FF"/>
              </a:solidFill>
              <a:ln>
                <a:solidFill>
                  <a:srgbClr val="0000FF"/>
                </a:solidFill>
                <a:prstDash val="solid"/>
              </a:ln>
            </c:spPr>
          </c:marker>
          <c:cat>
            <c:strRef>
              <c:f>Data!$A$24:$A$7784</c:f>
              <c:strCache>
                <c:ptCount val="61"/>
                <c:pt idx="0">
                  <c:v>JAN 8</c:v>
                </c:pt>
                <c:pt idx="1">
                  <c:v>FEB</c:v>
                </c:pt>
                <c:pt idx="2">
                  <c:v>MAR</c:v>
                </c:pt>
                <c:pt idx="3">
                  <c:v>APR</c:v>
                </c:pt>
                <c:pt idx="4">
                  <c:v>MAY</c:v>
                </c:pt>
                <c:pt idx="5">
                  <c:v>JUN</c:v>
                </c:pt>
                <c:pt idx="6">
                  <c:v>JUL</c:v>
                </c:pt>
                <c:pt idx="7">
                  <c:v>AUG</c:v>
                </c:pt>
                <c:pt idx="8">
                  <c:v>SEP</c:v>
                </c:pt>
                <c:pt idx="9">
                  <c:v>OCT</c:v>
                </c:pt>
                <c:pt idx="10">
                  <c:v>NOV</c:v>
                </c:pt>
                <c:pt idx="11">
                  <c:v>DEC</c:v>
                </c:pt>
                <c:pt idx="12">
                  <c:v>JAN 9</c:v>
                </c:pt>
                <c:pt idx="13">
                  <c:v>FEB</c:v>
                </c:pt>
                <c:pt idx="14">
                  <c:v>MAR</c:v>
                </c:pt>
                <c:pt idx="15">
                  <c:v>APR</c:v>
                </c:pt>
                <c:pt idx="16">
                  <c:v>MAY</c:v>
                </c:pt>
                <c:pt idx="17">
                  <c:v>JUN</c:v>
                </c:pt>
                <c:pt idx="18">
                  <c:v>JUL</c:v>
                </c:pt>
                <c:pt idx="19">
                  <c:v>AUG</c:v>
                </c:pt>
                <c:pt idx="20">
                  <c:v>SEP</c:v>
                </c:pt>
                <c:pt idx="21">
                  <c:v>OCT</c:v>
                </c:pt>
                <c:pt idx="22">
                  <c:v>NOV</c:v>
                </c:pt>
                <c:pt idx="23">
                  <c:v>DEC</c:v>
                </c:pt>
                <c:pt idx="24">
                  <c:v>JAN 10</c:v>
                </c:pt>
                <c:pt idx="25">
                  <c:v>FEB</c:v>
                </c:pt>
                <c:pt idx="26">
                  <c:v>MAR</c:v>
                </c:pt>
                <c:pt idx="27">
                  <c:v>APR</c:v>
                </c:pt>
                <c:pt idx="28">
                  <c:v>MAY</c:v>
                </c:pt>
                <c:pt idx="29">
                  <c:v>JUN</c:v>
                </c:pt>
                <c:pt idx="30">
                  <c:v>JUL</c:v>
                </c:pt>
                <c:pt idx="31">
                  <c:v>AUG</c:v>
                </c:pt>
                <c:pt idx="32">
                  <c:v>SEP</c:v>
                </c:pt>
                <c:pt idx="33">
                  <c:v>OCT</c:v>
                </c:pt>
                <c:pt idx="34">
                  <c:v>NOV</c:v>
                </c:pt>
                <c:pt idx="35">
                  <c:v>DEC</c:v>
                </c:pt>
                <c:pt idx="36">
                  <c:v>JAN 11</c:v>
                </c:pt>
                <c:pt idx="37">
                  <c:v>FEB</c:v>
                </c:pt>
                <c:pt idx="38">
                  <c:v>MAR</c:v>
                </c:pt>
                <c:pt idx="39">
                  <c:v>APR</c:v>
                </c:pt>
                <c:pt idx="40">
                  <c:v>MAY</c:v>
                </c:pt>
                <c:pt idx="41">
                  <c:v>JUN</c:v>
                </c:pt>
                <c:pt idx="42">
                  <c:v>JUL</c:v>
                </c:pt>
                <c:pt idx="43">
                  <c:v>AUG</c:v>
                </c:pt>
                <c:pt idx="44">
                  <c:v>SEP</c:v>
                </c:pt>
                <c:pt idx="45">
                  <c:v>OCT</c:v>
                </c:pt>
                <c:pt idx="46">
                  <c:v>NOV</c:v>
                </c:pt>
                <c:pt idx="47">
                  <c:v>DEC</c:v>
                </c:pt>
                <c:pt idx="48">
                  <c:v>JAN 12</c:v>
                </c:pt>
                <c:pt idx="49">
                  <c:v>FEB</c:v>
                </c:pt>
                <c:pt idx="50">
                  <c:v>MAR</c:v>
                </c:pt>
                <c:pt idx="51">
                  <c:v>APR</c:v>
                </c:pt>
                <c:pt idx="52">
                  <c:v>MAY</c:v>
                </c:pt>
                <c:pt idx="53">
                  <c:v>JUN</c:v>
                </c:pt>
                <c:pt idx="54">
                  <c:v>JUL</c:v>
                </c:pt>
                <c:pt idx="55">
                  <c:v>AUG</c:v>
                </c:pt>
                <c:pt idx="56">
                  <c:v>SEP</c:v>
                </c:pt>
                <c:pt idx="57">
                  <c:v>OCT</c:v>
                </c:pt>
                <c:pt idx="58">
                  <c:v>NOV</c:v>
                </c:pt>
                <c:pt idx="59">
                  <c:v>DEC</c:v>
                </c:pt>
                <c:pt idx="60">
                  <c:v>JAN 13</c:v>
                </c:pt>
              </c:strCache>
            </c:strRef>
          </c:cat>
          <c:val>
            <c:numRef>
              <c:f>Data!$AW$24:$AW$84</c:f>
              <c:numCache>
                <c:formatCode>"$"#,##0_);[Red]\("$"#,##0\)</c:formatCode>
                <c:ptCount val="61"/>
                <c:pt idx="0">
                  <c:v>276504.75600431964</c:v>
                </c:pt>
                <c:pt idx="1">
                  <c:v>301932.04317494598</c:v>
                </c:pt>
                <c:pt idx="2">
                  <c:v>318008.38995680341</c:v>
                </c:pt>
                <c:pt idx="3">
                  <c:v>327913.00196544273</c:v>
                </c:pt>
                <c:pt idx="4">
                  <c:v>336788.721987041</c:v>
                </c:pt>
                <c:pt idx="5">
                  <c:v>348874.06626349885</c:v>
                </c:pt>
                <c:pt idx="6">
                  <c:v>368439.53904967598</c:v>
                </c:pt>
                <c:pt idx="7">
                  <c:v>379893.6506047516</c:v>
                </c:pt>
                <c:pt idx="8">
                  <c:v>395008.33855291572</c:v>
                </c:pt>
                <c:pt idx="9">
                  <c:v>410040.6703239741</c:v>
                </c:pt>
                <c:pt idx="10">
                  <c:v>416056.4850107992</c:v>
                </c:pt>
                <c:pt idx="11">
                  <c:v>422345.658488121</c:v>
                </c:pt>
                <c:pt idx="12">
                  <c:v>425000.18170626357</c:v>
                </c:pt>
                <c:pt idx="13">
                  <c:v>417592.53181425482</c:v>
                </c:pt>
                <c:pt idx="14">
                  <c:v>413845.25265658746</c:v>
                </c:pt>
                <c:pt idx="15">
                  <c:v>410166.66419006477</c:v>
                </c:pt>
                <c:pt idx="16">
                  <c:v>400892.92071274295</c:v>
                </c:pt>
                <c:pt idx="17">
                  <c:v>392510.81079913606</c:v>
                </c:pt>
                <c:pt idx="18">
                  <c:v>376446.89198704099</c:v>
                </c:pt>
                <c:pt idx="19">
                  <c:v>364620.95421166311</c:v>
                </c:pt>
                <c:pt idx="20">
                  <c:v>349243.89634989202</c:v>
                </c:pt>
                <c:pt idx="21">
                  <c:v>335361.80699784018</c:v>
                </c:pt>
                <c:pt idx="22">
                  <c:v>326945.78708423325</c:v>
                </c:pt>
                <c:pt idx="23">
                  <c:v>320980.86442764575</c:v>
                </c:pt>
                <c:pt idx="24">
                  <c:v>319258.590712743</c:v>
                </c:pt>
                <c:pt idx="25">
                  <c:v>321040.82984881214</c:v>
                </c:pt>
                <c:pt idx="26">
                  <c:v>332226.85222462204</c:v>
                </c:pt>
                <c:pt idx="27">
                  <c:v>344009.67868250539</c:v>
                </c:pt>
                <c:pt idx="28">
                  <c:v>360594.0521382289</c:v>
                </c:pt>
                <c:pt idx="29">
                  <c:v>368232.61777537799</c:v>
                </c:pt>
                <c:pt idx="30">
                  <c:v>385429.3338012959</c:v>
                </c:pt>
                <c:pt idx="31">
                  <c:v>402365.49002159823</c:v>
                </c:pt>
                <c:pt idx="32">
                  <c:v>418404.42993520515</c:v>
                </c:pt>
                <c:pt idx="33">
                  <c:v>432015.95747300214</c:v>
                </c:pt>
                <c:pt idx="34">
                  <c:v>437002.0055075594</c:v>
                </c:pt>
                <c:pt idx="35">
                  <c:v>441357.78079913603</c:v>
                </c:pt>
                <c:pt idx="36">
                  <c:v>444501.1764146869</c:v>
                </c:pt>
                <c:pt idx="37">
                  <c:v>443168.02</c:v>
                </c:pt>
                <c:pt idx="38">
                  <c:v>434067.57427473</c:v>
                </c:pt>
                <c:pt idx="39">
                  <c:v>425521.29874838021</c:v>
                </c:pt>
                <c:pt idx="40">
                  <c:v>420173.60226198711</c:v>
                </c:pt>
                <c:pt idx="41">
                  <c:v>416374.18112375814</c:v>
                </c:pt>
                <c:pt idx="42">
                  <c:v>406387.28902872576</c:v>
                </c:pt>
                <c:pt idx="43">
                  <c:v>360152.49902872572</c:v>
                </c:pt>
                <c:pt idx="44">
                  <c:v>316745.18902872573</c:v>
                </c:pt>
                <c:pt idx="45">
                  <c:v>282494.5390287257</c:v>
                </c:pt>
                <c:pt idx="46">
                  <c:v>252809.5690287257</c:v>
                </c:pt>
                <c:pt idx="47">
                  <c:v>215078.15902872573</c:v>
                </c:pt>
                <c:pt idx="48">
                  <c:v>178210.34902872573</c:v>
                </c:pt>
                <c:pt idx="49">
                  <c:v>146833.39902872572</c:v>
                </c:pt>
                <c:pt idx="50">
                  <c:v>119409.8047539957</c:v>
                </c:pt>
                <c:pt idx="51">
                  <c:v>93637.800280345575</c:v>
                </c:pt>
                <c:pt idx="52">
                  <c:v>58784.226766738662</c:v>
                </c:pt>
                <c:pt idx="53">
                  <c:v>30568.717904967601</c:v>
                </c:pt>
                <c:pt idx="54">
                  <c:v>0</c:v>
                </c:pt>
                <c:pt idx="55">
                  <c:v>0</c:v>
                </c:pt>
                <c:pt idx="56">
                  <c:v>0</c:v>
                </c:pt>
                <c:pt idx="57">
                  <c:v>0</c:v>
                </c:pt>
                <c:pt idx="58">
                  <c:v>0</c:v>
                </c:pt>
                <c:pt idx="59">
                  <c:v>0</c:v>
                </c:pt>
                <c:pt idx="60">
                  <c:v>0</c:v>
                </c:pt>
              </c:numCache>
            </c:numRef>
          </c:val>
          <c:smooth val="0"/>
        </c:ser>
        <c:dLbls>
          <c:showLegendKey val="0"/>
          <c:showVal val="0"/>
          <c:showCatName val="0"/>
          <c:showSerName val="0"/>
          <c:showPercent val="0"/>
          <c:showBubbleSize val="0"/>
        </c:dLbls>
        <c:marker val="1"/>
        <c:smooth val="0"/>
        <c:axId val="45079936"/>
        <c:axId val="45086208"/>
      </c:lineChart>
      <c:catAx>
        <c:axId val="45079936"/>
        <c:scaling>
          <c:orientation val="minMax"/>
        </c:scaling>
        <c:delete val="0"/>
        <c:axPos val="b"/>
        <c:majorGridlines>
          <c:spPr>
            <a:ln w="3175">
              <a:solidFill>
                <a:srgbClr val="969696"/>
              </a:solidFill>
              <a:prstDash val="lgDash"/>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Arial"/>
                <a:ea typeface="Arial"/>
                <a:cs typeface="Arial"/>
              </a:defRPr>
            </a:pPr>
            <a:endParaRPr lang="en-US"/>
          </a:p>
        </c:txPr>
        <c:crossAx val="45086208"/>
        <c:crosses val="autoZero"/>
        <c:auto val="1"/>
        <c:lblAlgn val="ctr"/>
        <c:lblOffset val="100"/>
        <c:tickLblSkip val="2"/>
        <c:tickMarkSkip val="12"/>
        <c:noMultiLvlLbl val="0"/>
      </c:catAx>
      <c:valAx>
        <c:axId val="45086208"/>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$/Year</a:t>
                </a:r>
              </a:p>
            </c:rich>
          </c:tx>
          <c:layout>
            <c:manualLayout>
              <c:xMode val="edge"/>
              <c:yMode val="edge"/>
              <c:x val="1.4428412874583796E-2"/>
              <c:y val="0.44208809135399674"/>
            </c:manualLayout>
          </c:layout>
          <c:overlay val="0"/>
          <c:spPr>
            <a:noFill/>
            <a:ln w="25400">
              <a:noFill/>
            </a:ln>
          </c:spPr>
        </c:title>
        <c:numFmt formatCode="\$#,##0_);[Red]\(\$#,##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5079936"/>
        <c:crosses val="autoZero"/>
        <c:crossBetween val="midCat"/>
      </c:valAx>
      <c:spPr>
        <a:noFill/>
        <a:ln w="3175">
          <a:solidFill>
            <a:srgbClr val="000000"/>
          </a:solidFill>
          <a:prstDash val="solid"/>
        </a:ln>
      </c:spPr>
    </c:plotArea>
    <c:legend>
      <c:legendPos val="b"/>
      <c:layout>
        <c:manualLayout>
          <c:xMode val="edge"/>
          <c:yMode val="edge"/>
          <c:x val="0.2241953385127636"/>
          <c:y val="0.9559543230016313"/>
          <c:w val="0.64705882352941169"/>
          <c:h val="3.915171288743879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Header>&amp;A</oddHeader>
    <oddFooter>Page &amp;P</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headerFooter alignWithMargins="0">
    <oddHeader>&amp;A</oddHeader>
    <oddFooter>Page &amp;P</oddFooter>
  </headerFooter>
  <drawing r:id="rId1"/>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sheetPr/>
  <sheetViews>
    <sheetView zoomScale="125" workbookViewId="0"/>
  </sheetViews>
  <pageMargins left="0.75" right="0.75" top="1" bottom="1" header="0.5" footer="0.5"/>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8580120" cy="58369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0.73075</cdr:x>
      <cdr:y>0.20425</cdr:y>
    </cdr:from>
    <cdr:to>
      <cdr:x>0.82075</cdr:x>
      <cdr:y>0.23125</cdr:y>
    </cdr:to>
    <cdr:sp macro="" textlink="">
      <cdr:nvSpPr>
        <cdr:cNvPr id="4097" name="Text Box 1"/>
        <cdr:cNvSpPr txBox="1">
          <a:spLocks xmlns:a="http://schemas.openxmlformats.org/drawingml/2006/main" noChangeArrowheads="1"/>
        </cdr:cNvSpPr>
      </cdr:nvSpPr>
      <cdr:spPr bwMode="auto">
        <a:xfrm xmlns:a="http://schemas.openxmlformats.org/drawingml/2006/main">
          <a:off x="6271315" y="1192580"/>
          <a:ext cx="772382" cy="1576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Trend Line</a:t>
          </a:r>
        </a:p>
      </cdr:txBody>
    </cdr:sp>
  </cdr:relSizeAnchor>
  <cdr:relSizeAnchor xmlns:cdr="http://schemas.openxmlformats.org/drawingml/2006/chartDrawing">
    <cdr:from>
      <cdr:x>0.82075</cdr:x>
      <cdr:y>0.216</cdr:y>
    </cdr:from>
    <cdr:to>
      <cdr:x>0.89925</cdr:x>
      <cdr:y>0.2175</cdr:y>
    </cdr:to>
    <cdr:sp macro="" textlink="">
      <cdr:nvSpPr>
        <cdr:cNvPr id="4098" name="Line 2"/>
        <cdr:cNvSpPr>
          <a:spLocks xmlns:a="http://schemas.openxmlformats.org/drawingml/2006/main" noChangeShapeType="1"/>
        </cdr:cNvSpPr>
      </cdr:nvSpPr>
      <cdr:spPr bwMode="auto">
        <a:xfrm xmlns:a="http://schemas.openxmlformats.org/drawingml/2006/main">
          <a:off x="7043697" y="1261186"/>
          <a:ext cx="673689" cy="8758"/>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580120" cy="58369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80120" cy="58369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106"/>
  <sheetViews>
    <sheetView tabSelected="1" workbookViewId="0">
      <selection activeCell="N5" sqref="N5"/>
    </sheetView>
  </sheetViews>
  <sheetFormatPr defaultRowHeight="12.75" x14ac:dyDescent="0.2"/>
  <cols>
    <col min="1" max="1" width="14.28515625" style="18" bestFit="1" customWidth="1"/>
    <col min="2" max="2" width="12" customWidth="1"/>
    <col min="3" max="3" width="11.5703125" customWidth="1"/>
    <col min="4" max="4" width="6.85546875" style="1" bestFit="1" customWidth="1"/>
    <col min="5" max="5" width="10.7109375" customWidth="1"/>
    <col min="6" max="7" width="12" customWidth="1"/>
    <col min="8" max="8" width="12.7109375" style="2" bestFit="1" customWidth="1"/>
    <col min="11" max="17" width="10.7109375" style="18" customWidth="1"/>
    <col min="18" max="21" width="10.7109375" style="22" customWidth="1"/>
    <col min="22" max="24" width="10.7109375" style="18" customWidth="1"/>
    <col min="25" max="25" width="13.42578125" style="18" bestFit="1" customWidth="1"/>
    <col min="26" max="26" width="9.42578125" style="18" bestFit="1" customWidth="1"/>
    <col min="27" max="27" width="11.7109375" customWidth="1"/>
    <col min="28" max="28" width="13.42578125" style="1" bestFit="1" customWidth="1"/>
    <col min="29" max="29" width="10.42578125" customWidth="1"/>
    <col min="30" max="30" width="12.42578125" style="2" customWidth="1"/>
    <col min="31" max="32" width="10.28515625" customWidth="1"/>
    <col min="33" max="40" width="12" customWidth="1"/>
    <col min="41" max="41" width="10.28515625" customWidth="1"/>
    <col min="42" max="42" width="10.7109375" style="1" customWidth="1"/>
    <col min="43" max="43" width="10.7109375" customWidth="1"/>
    <col min="46" max="46" width="12.140625" bestFit="1" customWidth="1"/>
    <col min="47" max="47" width="12.140625" customWidth="1"/>
    <col min="48" max="48" width="12.7109375" bestFit="1" customWidth="1"/>
    <col min="50" max="50" width="10" bestFit="1" customWidth="1"/>
    <col min="52" max="52" width="10" bestFit="1" customWidth="1"/>
    <col min="54" max="54" width="11.28515625" bestFit="1" customWidth="1"/>
    <col min="55" max="55" width="11.28515625" style="1" customWidth="1"/>
  </cols>
  <sheetData>
    <row r="1" spans="1:65" x14ac:dyDescent="0.2">
      <c r="A1" s="18" t="s">
        <v>51</v>
      </c>
      <c r="B1" s="126" t="s">
        <v>197</v>
      </c>
      <c r="C1" s="11"/>
      <c r="D1" s="11"/>
      <c r="F1" s="11" t="s">
        <v>61</v>
      </c>
      <c r="G1" s="11"/>
      <c r="H1" s="42"/>
    </row>
    <row r="2" spans="1:65" x14ac:dyDescent="0.2">
      <c r="A2" s="18" t="s">
        <v>52</v>
      </c>
      <c r="B2" s="126" t="s">
        <v>198</v>
      </c>
      <c r="C2" s="11"/>
      <c r="D2" s="11"/>
      <c r="H2" s="42"/>
      <c r="BM2" s="18" t="s">
        <v>175</v>
      </c>
    </row>
    <row r="3" spans="1:65" ht="13.5" thickBot="1" x14ac:dyDescent="0.25">
      <c r="A3" s="18" t="s">
        <v>53</v>
      </c>
      <c r="B3" s="11" t="s">
        <v>199</v>
      </c>
      <c r="C3" s="11"/>
      <c r="D3" s="11"/>
      <c r="H3" s="97"/>
      <c r="BM3" s="142" t="s">
        <v>176</v>
      </c>
    </row>
    <row r="4" spans="1:65" x14ac:dyDescent="0.2">
      <c r="A4" s="18" t="s">
        <v>48</v>
      </c>
      <c r="B4" s="12">
        <v>436244</v>
      </c>
      <c r="C4" s="39" t="s">
        <v>49</v>
      </c>
      <c r="D4" s="39"/>
      <c r="E4" s="103"/>
      <c r="F4" s="109"/>
      <c r="G4" s="110" t="s">
        <v>101</v>
      </c>
      <c r="H4" s="108">
        <f>VLOOKUP(MAX(C12:C83),C12:BB84,52)</f>
        <v>96105.924666012594</v>
      </c>
      <c r="I4" s="111" t="s">
        <v>82</v>
      </c>
      <c r="J4" s="112"/>
      <c r="K4" s="18" t="s">
        <v>103</v>
      </c>
      <c r="BM4" s="18" t="s">
        <v>177</v>
      </c>
    </row>
    <row r="5" spans="1:65" ht="13.5" thickBot="1" x14ac:dyDescent="0.25">
      <c r="A5" s="19" t="s">
        <v>18</v>
      </c>
      <c r="B5" s="127">
        <v>12345</v>
      </c>
      <c r="C5" s="11"/>
      <c r="D5" s="39"/>
      <c r="E5" s="104"/>
      <c r="F5" s="65"/>
      <c r="G5" s="105" t="s">
        <v>102</v>
      </c>
      <c r="H5" s="106">
        <f>+Benchmark!C12</f>
        <v>84402</v>
      </c>
      <c r="I5" s="107" t="s">
        <v>82</v>
      </c>
      <c r="J5" s="66"/>
      <c r="K5" s="18" t="s">
        <v>104</v>
      </c>
      <c r="AA5" s="117" t="s">
        <v>4</v>
      </c>
      <c r="AB5" s="147">
        <v>2.1116653518479299E+17</v>
      </c>
      <c r="AC5" s="148"/>
      <c r="AD5" s="118"/>
      <c r="BM5" s="18" t="s">
        <v>178</v>
      </c>
    </row>
    <row r="6" spans="1:65" x14ac:dyDescent="0.2">
      <c r="A6" s="117" t="s">
        <v>111</v>
      </c>
      <c r="B6" s="128" t="s">
        <v>200</v>
      </c>
      <c r="C6" s="11"/>
      <c r="D6" s="39"/>
      <c r="G6" s="121" t="s">
        <v>113</v>
      </c>
      <c r="H6" s="120">
        <f>VLOOKUP(MAX(Data!C12:C84),C12:BF84,55)</f>
        <v>11.326230274800341</v>
      </c>
      <c r="I6" t="s">
        <v>112</v>
      </c>
      <c r="AA6" s="117" t="s">
        <v>111</v>
      </c>
      <c r="AB6" s="39"/>
      <c r="AC6" s="13"/>
      <c r="AD6" s="118"/>
      <c r="BM6" s="143" t="s">
        <v>193</v>
      </c>
    </row>
    <row r="7" spans="1:65" x14ac:dyDescent="0.2">
      <c r="A7" s="19" t="s">
        <v>6</v>
      </c>
      <c r="B7" s="123">
        <v>21374350</v>
      </c>
      <c r="C7" s="11"/>
      <c r="D7" s="39"/>
      <c r="G7" s="121" t="s">
        <v>114</v>
      </c>
      <c r="H7" s="122">
        <f>VLOOKUP(MAX(Data!C12:C84),C12:BF84,56)</f>
        <v>0.5744950073811903</v>
      </c>
      <c r="I7" t="s">
        <v>115</v>
      </c>
      <c r="AA7" s="117" t="s">
        <v>6</v>
      </c>
      <c r="AB7" s="39"/>
      <c r="AC7" s="13"/>
      <c r="AD7" s="118"/>
      <c r="BM7" s="143" t="s">
        <v>194</v>
      </c>
    </row>
    <row r="8" spans="1:65" x14ac:dyDescent="0.2">
      <c r="A8" s="19" t="s">
        <v>58</v>
      </c>
      <c r="B8" s="123" t="s">
        <v>201</v>
      </c>
      <c r="C8" s="11"/>
      <c r="D8" s="39"/>
      <c r="Q8" s="20" t="s">
        <v>31</v>
      </c>
      <c r="R8" s="23" t="s">
        <v>20</v>
      </c>
      <c r="S8" s="23" t="s">
        <v>20</v>
      </c>
      <c r="T8" s="20" t="s">
        <v>31</v>
      </c>
      <c r="U8" s="23" t="s">
        <v>20</v>
      </c>
      <c r="AA8" s="117" t="s">
        <v>5</v>
      </c>
      <c r="AB8" s="39"/>
      <c r="AJ8" s="18"/>
      <c r="AK8" s="18"/>
      <c r="AL8" s="18"/>
      <c r="AM8" s="20" t="s">
        <v>31</v>
      </c>
      <c r="AN8" s="23" t="s">
        <v>20</v>
      </c>
      <c r="AZ8" s="7" t="s">
        <v>72</v>
      </c>
      <c r="BA8" s="7" t="s">
        <v>73</v>
      </c>
      <c r="BB8" s="7" t="s">
        <v>38</v>
      </c>
      <c r="BM8" s="145" t="s">
        <v>195</v>
      </c>
    </row>
    <row r="9" spans="1:65" s="7" customFormat="1" x14ac:dyDescent="0.2">
      <c r="A9" s="98" t="s">
        <v>78</v>
      </c>
      <c r="B9" s="146" t="s">
        <v>185</v>
      </c>
      <c r="C9" s="146"/>
      <c r="D9" s="146"/>
      <c r="H9" s="38"/>
      <c r="I9" s="7" t="s">
        <v>56</v>
      </c>
      <c r="J9" s="7" t="s">
        <v>37</v>
      </c>
      <c r="K9" s="20"/>
      <c r="L9" s="20" t="s">
        <v>20</v>
      </c>
      <c r="M9" s="20" t="s">
        <v>23</v>
      </c>
      <c r="N9" s="20" t="s">
        <v>23</v>
      </c>
      <c r="O9" s="20" t="s">
        <v>23</v>
      </c>
      <c r="P9" s="20" t="s">
        <v>20</v>
      </c>
      <c r="Q9" s="20" t="s">
        <v>63</v>
      </c>
      <c r="R9" s="23" t="s">
        <v>63</v>
      </c>
      <c r="S9" s="23" t="s">
        <v>37</v>
      </c>
      <c r="T9" s="20" t="s">
        <v>99</v>
      </c>
      <c r="U9" s="23" t="s">
        <v>99</v>
      </c>
      <c r="V9" s="20"/>
      <c r="W9" s="20"/>
      <c r="X9" s="20"/>
      <c r="Y9" s="20" t="s">
        <v>20</v>
      </c>
      <c r="Z9" s="20" t="s">
        <v>20</v>
      </c>
      <c r="AD9" s="38" t="s">
        <v>31</v>
      </c>
      <c r="AE9" s="7" t="s">
        <v>56</v>
      </c>
      <c r="AF9" s="7" t="s">
        <v>37</v>
      </c>
      <c r="AH9" s="7" t="s">
        <v>32</v>
      </c>
      <c r="AI9" s="7" t="s">
        <v>32</v>
      </c>
      <c r="AJ9" s="20" t="s">
        <v>32</v>
      </c>
      <c r="AK9" s="20" t="s">
        <v>20</v>
      </c>
      <c r="AL9" s="20" t="s">
        <v>20</v>
      </c>
      <c r="AM9" s="20" t="s">
        <v>63</v>
      </c>
      <c r="AN9" s="23" t="s">
        <v>63</v>
      </c>
      <c r="AP9" s="7" t="s">
        <v>20</v>
      </c>
      <c r="AQ9" s="7" t="s">
        <v>20</v>
      </c>
      <c r="AR9" s="7" t="s">
        <v>20</v>
      </c>
      <c r="AS9" s="7" t="s">
        <v>35</v>
      </c>
      <c r="AT9" s="7" t="s">
        <v>68</v>
      </c>
      <c r="AU9" s="7" t="s">
        <v>20</v>
      </c>
      <c r="AV9" s="8" t="s">
        <v>38</v>
      </c>
      <c r="AW9" s="8" t="s">
        <v>38</v>
      </c>
      <c r="AX9" s="8" t="s">
        <v>38</v>
      </c>
      <c r="AY9" s="8" t="s">
        <v>38</v>
      </c>
      <c r="AZ9" s="8" t="s">
        <v>39</v>
      </c>
      <c r="BA9" s="8" t="s">
        <v>39</v>
      </c>
      <c r="BB9" s="8" t="s">
        <v>39</v>
      </c>
      <c r="BC9" s="8" t="s">
        <v>39</v>
      </c>
      <c r="BD9" s="8" t="s">
        <v>40</v>
      </c>
      <c r="BE9" s="8" t="s">
        <v>41</v>
      </c>
      <c r="BF9" s="8" t="s">
        <v>59</v>
      </c>
      <c r="BM9" s="142" t="s">
        <v>179</v>
      </c>
    </row>
    <row r="10" spans="1:65" s="7" customFormat="1" x14ac:dyDescent="0.2">
      <c r="A10" s="20"/>
      <c r="E10" s="7" t="s">
        <v>21</v>
      </c>
      <c r="H10" s="38" t="s">
        <v>23</v>
      </c>
      <c r="I10" s="7" t="s">
        <v>36</v>
      </c>
      <c r="J10" s="7" t="s">
        <v>54</v>
      </c>
      <c r="K10" s="20" t="s">
        <v>20</v>
      </c>
      <c r="L10" s="7" t="s">
        <v>36</v>
      </c>
      <c r="M10" s="20" t="s">
        <v>31</v>
      </c>
      <c r="N10" s="20" t="s">
        <v>20</v>
      </c>
      <c r="O10" s="20" t="s">
        <v>66</v>
      </c>
      <c r="P10" s="20" t="s">
        <v>37</v>
      </c>
      <c r="Q10" s="20" t="s">
        <v>64</v>
      </c>
      <c r="R10" s="23" t="s">
        <v>64</v>
      </c>
      <c r="S10" s="23" t="s">
        <v>97</v>
      </c>
      <c r="T10" s="20" t="s">
        <v>64</v>
      </c>
      <c r="U10" s="23" t="s">
        <v>64</v>
      </c>
      <c r="V10" s="20" t="s">
        <v>22</v>
      </c>
      <c r="W10" s="20" t="s">
        <v>62</v>
      </c>
      <c r="X10" s="20" t="s">
        <v>31</v>
      </c>
      <c r="Y10" s="20" t="s">
        <v>23</v>
      </c>
      <c r="Z10" s="20" t="s">
        <v>37</v>
      </c>
      <c r="AC10" s="7" t="s">
        <v>31</v>
      </c>
      <c r="AD10" s="38" t="s">
        <v>32</v>
      </c>
      <c r="AE10" s="7" t="s">
        <v>36</v>
      </c>
      <c r="AF10" s="7" t="s">
        <v>54</v>
      </c>
      <c r="AG10" s="7" t="s">
        <v>20</v>
      </c>
      <c r="AH10" s="7" t="s">
        <v>31</v>
      </c>
      <c r="AI10" s="7" t="s">
        <v>20</v>
      </c>
      <c r="AJ10" s="20" t="s">
        <v>74</v>
      </c>
      <c r="AK10" s="20" t="s">
        <v>50</v>
      </c>
      <c r="AL10" s="20" t="s">
        <v>37</v>
      </c>
      <c r="AM10" s="20" t="s">
        <v>64</v>
      </c>
      <c r="AN10" s="23" t="s">
        <v>64</v>
      </c>
      <c r="AO10" s="7" t="s">
        <v>31</v>
      </c>
      <c r="AP10" s="7" t="s">
        <v>26</v>
      </c>
      <c r="AQ10" s="7" t="s">
        <v>2</v>
      </c>
      <c r="AR10" s="7" t="s">
        <v>36</v>
      </c>
      <c r="AS10" s="7" t="s">
        <v>36</v>
      </c>
      <c r="AT10" s="7" t="s">
        <v>69</v>
      </c>
      <c r="AU10" s="7" t="s">
        <v>68</v>
      </c>
      <c r="AV10" s="8" t="s">
        <v>43</v>
      </c>
      <c r="AW10" s="8" t="s">
        <v>42</v>
      </c>
      <c r="AX10" s="8" t="s">
        <v>43</v>
      </c>
      <c r="AY10" s="8" t="s">
        <v>42</v>
      </c>
      <c r="AZ10" s="8" t="s">
        <v>44</v>
      </c>
      <c r="BA10" s="8" t="s">
        <v>44</v>
      </c>
      <c r="BB10" s="8" t="s">
        <v>44</v>
      </c>
      <c r="BC10" s="8" t="s">
        <v>44</v>
      </c>
      <c r="BD10" s="8" t="s">
        <v>44</v>
      </c>
      <c r="BE10" s="8" t="s">
        <v>44</v>
      </c>
      <c r="BF10" s="8" t="s">
        <v>44</v>
      </c>
      <c r="BM10" s="18" t="s">
        <v>180</v>
      </c>
    </row>
    <row r="11" spans="1:65" s="7" customFormat="1" x14ac:dyDescent="0.2">
      <c r="A11" s="20" t="s">
        <v>27</v>
      </c>
      <c r="B11" s="7" t="s">
        <v>65</v>
      </c>
      <c r="C11" s="7" t="s">
        <v>0</v>
      </c>
      <c r="D11" s="7" t="s">
        <v>3</v>
      </c>
      <c r="E11" s="7" t="s">
        <v>1</v>
      </c>
      <c r="F11" s="7" t="s">
        <v>19</v>
      </c>
      <c r="G11" s="7" t="s">
        <v>174</v>
      </c>
      <c r="H11" s="38" t="s">
        <v>2</v>
      </c>
      <c r="I11" s="7" t="s">
        <v>50</v>
      </c>
      <c r="J11" s="7" t="s">
        <v>55</v>
      </c>
      <c r="K11" s="20" t="s">
        <v>21</v>
      </c>
      <c r="L11" s="20" t="s">
        <v>50</v>
      </c>
      <c r="M11" s="20" t="s">
        <v>46</v>
      </c>
      <c r="N11" s="20" t="s">
        <v>46</v>
      </c>
      <c r="O11" s="20" t="s">
        <v>34</v>
      </c>
      <c r="P11" s="20" t="s">
        <v>67</v>
      </c>
      <c r="Q11" s="20" t="s">
        <v>65</v>
      </c>
      <c r="R11" s="23" t="s">
        <v>65</v>
      </c>
      <c r="S11" s="23" t="s">
        <v>98</v>
      </c>
      <c r="T11" s="20" t="s">
        <v>65</v>
      </c>
      <c r="U11" s="23" t="s">
        <v>65</v>
      </c>
      <c r="V11" s="20" t="s">
        <v>28</v>
      </c>
      <c r="W11" s="20" t="s">
        <v>28</v>
      </c>
      <c r="X11" s="20" t="s">
        <v>57</v>
      </c>
      <c r="Y11" s="20" t="s">
        <v>29</v>
      </c>
      <c r="Z11" s="20" t="s">
        <v>24</v>
      </c>
      <c r="AA11" s="7" t="s">
        <v>0</v>
      </c>
      <c r="AB11" s="7" t="s">
        <v>3</v>
      </c>
      <c r="AC11" s="7" t="s">
        <v>25</v>
      </c>
      <c r="AD11" s="38" t="s">
        <v>2</v>
      </c>
      <c r="AE11" s="7" t="s">
        <v>50</v>
      </c>
      <c r="AF11" s="7" t="s">
        <v>55</v>
      </c>
      <c r="AG11" s="7" t="s">
        <v>25</v>
      </c>
      <c r="AH11" s="7" t="s">
        <v>46</v>
      </c>
      <c r="AI11" s="7" t="s">
        <v>46</v>
      </c>
      <c r="AJ11" s="20" t="s">
        <v>34</v>
      </c>
      <c r="AK11" s="20"/>
      <c r="AL11" s="20" t="s">
        <v>75</v>
      </c>
      <c r="AM11" s="20" t="s">
        <v>65</v>
      </c>
      <c r="AN11" s="23" t="s">
        <v>65</v>
      </c>
      <c r="AO11" s="7" t="s">
        <v>30</v>
      </c>
      <c r="AQ11" s="7" t="s">
        <v>33</v>
      </c>
      <c r="AR11" s="7" t="s">
        <v>50</v>
      </c>
      <c r="AS11" s="7" t="s">
        <v>34</v>
      </c>
      <c r="AT11" s="7" t="s">
        <v>70</v>
      </c>
      <c r="AU11" s="7" t="s">
        <v>71</v>
      </c>
      <c r="AV11" s="8" t="s">
        <v>45</v>
      </c>
      <c r="AW11" s="8" t="s">
        <v>45</v>
      </c>
      <c r="AX11" s="8" t="s">
        <v>46</v>
      </c>
      <c r="AY11" s="8" t="s">
        <v>46</v>
      </c>
      <c r="AZ11" s="8" t="s">
        <v>47</v>
      </c>
      <c r="BA11" s="8" t="s">
        <v>47</v>
      </c>
      <c r="BB11" s="8" t="s">
        <v>47</v>
      </c>
      <c r="BC11" s="8" t="s">
        <v>60</v>
      </c>
      <c r="BD11" s="8" t="s">
        <v>47</v>
      </c>
      <c r="BE11" s="8" t="s">
        <v>47</v>
      </c>
      <c r="BF11" s="8" t="s">
        <v>47</v>
      </c>
      <c r="BM11" s="18" t="s">
        <v>181</v>
      </c>
    </row>
    <row r="12" spans="1:65" x14ac:dyDescent="0.2">
      <c r="A12" s="21" t="str">
        <f>IF(B12=2006,$BI$35,IF(B12=2007,$BJ$35,IF(B12=2008,$BK$35,IF(B12=2009,$BL$35,IF(B12=2010,$BM$35,IF(B12=2011,$BN$35,IF(B12=2012,$BO$35,"")))))))</f>
        <v>JAN 7</v>
      </c>
      <c r="B12" s="91">
        <v>2007</v>
      </c>
      <c r="C12" s="17"/>
      <c r="D12" s="11">
        <v>31</v>
      </c>
      <c r="E12" s="138">
        <v>190500</v>
      </c>
      <c r="F12" s="133">
        <v>550.5</v>
      </c>
      <c r="G12" s="132"/>
      <c r="H12" s="140">
        <v>11476.46</v>
      </c>
      <c r="I12" s="11">
        <v>801</v>
      </c>
      <c r="J12" s="11">
        <v>34</v>
      </c>
      <c r="K12" s="24"/>
      <c r="L12" s="24"/>
      <c r="M12" s="16">
        <f>E12*0.003413</f>
        <v>650.17649999999992</v>
      </c>
      <c r="N12" s="16"/>
      <c r="O12" s="16">
        <f>IF(ISBLANK(D12),"",+E12/D12)</f>
        <v>6145.1612903225805</v>
      </c>
      <c r="P12" s="16"/>
      <c r="Q12" s="22"/>
      <c r="V12" s="25">
        <f>IF(D12=0,"",IF(E12=0,"",IF(F12=0,"",E12/(D12*F12*24))))</f>
        <v>0.46511968591602942</v>
      </c>
      <c r="W12" s="134" t="str">
        <f>IF(ISBLANK(G12),"",IF(E12=0,"",F12/(F12+G12)))</f>
        <v/>
      </c>
      <c r="X12" s="26">
        <f>IF(ISBLANK(E12),"",+H12/E12)</f>
        <v>6.0243884514435693E-2</v>
      </c>
      <c r="AA12" s="17"/>
      <c r="AB12" s="39">
        <v>31</v>
      </c>
      <c r="AC12" s="11"/>
      <c r="AD12" s="11"/>
      <c r="AE12" s="11">
        <f>I12</f>
        <v>801</v>
      </c>
      <c r="AF12" s="131">
        <f>J12</f>
        <v>34</v>
      </c>
      <c r="AG12" s="16"/>
      <c r="AH12" s="3">
        <f>AC12*0.1</f>
        <v>0</v>
      </c>
      <c r="AI12" s="3"/>
      <c r="AJ12" s="37">
        <f>IF(ISBLANK(AB12),"",AC12/AB12)</f>
        <v>0</v>
      </c>
      <c r="AK12" s="37"/>
      <c r="AL12" s="16"/>
      <c r="AM12" s="22"/>
      <c r="AN12" s="22"/>
      <c r="AO12" s="41" t="str">
        <f>IF(AC12&gt;0,AD12/AC12,"")</f>
        <v/>
      </c>
      <c r="AS12" s="6" t="str">
        <f t="shared" ref="AS12:AS19" si="0">IF(ISBLANK(AC12),"",+AC12/I12)</f>
        <v/>
      </c>
      <c r="AT12" s="39"/>
      <c r="AU12" s="1"/>
      <c r="AV12" s="5">
        <f t="shared" ref="AV12:AV43" si="1">+H12+AD12</f>
        <v>11476.46</v>
      </c>
      <c r="AX12" s="3">
        <f t="shared" ref="AX12:AX43" si="2">+M12+AH12</f>
        <v>650.17649999999992</v>
      </c>
      <c r="BM12" s="142" t="s">
        <v>182</v>
      </c>
    </row>
    <row r="13" spans="1:65" x14ac:dyDescent="0.2">
      <c r="A13" s="18" t="s">
        <v>7</v>
      </c>
      <c r="B13" s="1"/>
      <c r="C13" s="17"/>
      <c r="D13" s="11">
        <v>28</v>
      </c>
      <c r="E13" s="135">
        <v>207900</v>
      </c>
      <c r="F13" s="136">
        <v>601.5</v>
      </c>
      <c r="G13" s="136"/>
      <c r="H13" s="140">
        <v>12908.23</v>
      </c>
      <c r="I13" s="11">
        <v>636</v>
      </c>
      <c r="J13" s="11">
        <v>37</v>
      </c>
      <c r="K13" s="24"/>
      <c r="L13" s="24"/>
      <c r="M13" s="16">
        <f t="shared" ref="M13:M76" si="3">E13*0.003413</f>
        <v>709.56269999999995</v>
      </c>
      <c r="N13" s="16"/>
      <c r="O13" s="16">
        <f t="shared" ref="O13:O76" si="4">IF(ISBLANK(D13),"",+E13/D13)</f>
        <v>7425</v>
      </c>
      <c r="P13" s="16"/>
      <c r="Q13" s="22"/>
      <c r="V13" s="25">
        <f t="shared" ref="V13:V66" si="5">IF(D13=0,"",IF(E13=0,"",IF(F13=0,"",E13/(D13*F13*24))))</f>
        <v>0.51433915211970072</v>
      </c>
      <c r="W13" s="134" t="str">
        <f t="shared" ref="W13:W66" si="6">IF(ISBLANK(G13),"",IF(E13=0,"",F13/(F13+G13)))</f>
        <v/>
      </c>
      <c r="X13" s="26">
        <f t="shared" ref="X13:X76" si="7">IF(ISBLANK(E13),"",+H13/E13)</f>
        <v>6.2088648388648388E-2</v>
      </c>
      <c r="AA13" s="17"/>
      <c r="AB13" s="39">
        <v>28</v>
      </c>
      <c r="AC13" s="11"/>
      <c r="AD13" s="11"/>
      <c r="AE13" s="131">
        <f t="shared" ref="AE13:AE66" si="8">I13</f>
        <v>636</v>
      </c>
      <c r="AF13" s="131">
        <f t="shared" ref="AF13:AF66" si="9">J13</f>
        <v>37</v>
      </c>
      <c r="AG13" s="16"/>
      <c r="AH13" s="3">
        <f t="shared" ref="AH13:AH76" si="10">AC13*0.1</f>
        <v>0</v>
      </c>
      <c r="AI13" s="3"/>
      <c r="AJ13" s="37">
        <f t="shared" ref="AJ13:AJ76" si="11">IF(ISBLANK(AB13),"",AC13/AB13)</f>
        <v>0</v>
      </c>
      <c r="AK13" s="37"/>
      <c r="AL13" s="16"/>
      <c r="AM13" s="22"/>
      <c r="AN13" s="22"/>
      <c r="AO13" s="41" t="str">
        <f t="shared" ref="AO13:AO76" si="12">IF(AC13&gt;0,AD13/AC13,"")</f>
        <v/>
      </c>
      <c r="AS13" s="6" t="str">
        <f t="shared" si="0"/>
        <v/>
      </c>
      <c r="AT13" s="39"/>
      <c r="AU13" s="1"/>
      <c r="AV13" s="5">
        <f t="shared" si="1"/>
        <v>12908.23</v>
      </c>
      <c r="AX13" s="3">
        <f t="shared" si="2"/>
        <v>709.56269999999995</v>
      </c>
      <c r="BM13" s="142" t="s">
        <v>183</v>
      </c>
    </row>
    <row r="14" spans="1:65" x14ac:dyDescent="0.2">
      <c r="A14" s="18" t="s">
        <v>8</v>
      </c>
      <c r="B14" s="1"/>
      <c r="C14" s="17"/>
      <c r="D14" s="11">
        <v>31</v>
      </c>
      <c r="E14" s="135">
        <v>203100</v>
      </c>
      <c r="F14" s="136">
        <v>623.1</v>
      </c>
      <c r="G14" s="136"/>
      <c r="H14" s="140">
        <v>13008.95</v>
      </c>
      <c r="I14" s="11">
        <v>150</v>
      </c>
      <c r="J14" s="11">
        <v>58</v>
      </c>
      <c r="K14" s="24"/>
      <c r="L14" s="24"/>
      <c r="M14" s="16">
        <f t="shared" si="3"/>
        <v>693.18029999999999</v>
      </c>
      <c r="N14" s="16"/>
      <c r="O14" s="16">
        <f t="shared" si="4"/>
        <v>6551.6129032258068</v>
      </c>
      <c r="P14" s="16"/>
      <c r="Q14" s="22"/>
      <c r="V14" s="25">
        <f t="shared" si="5"/>
        <v>0.43810603589751551</v>
      </c>
      <c r="W14" s="134" t="str">
        <f t="shared" si="6"/>
        <v/>
      </c>
      <c r="X14" s="26">
        <f t="shared" si="7"/>
        <v>6.4051944854751353E-2</v>
      </c>
      <c r="AA14" s="17"/>
      <c r="AB14" s="39">
        <v>31</v>
      </c>
      <c r="AC14" s="11"/>
      <c r="AD14" s="11"/>
      <c r="AE14" s="131">
        <f t="shared" si="8"/>
        <v>150</v>
      </c>
      <c r="AF14" s="131">
        <f t="shared" si="9"/>
        <v>58</v>
      </c>
      <c r="AG14" s="16"/>
      <c r="AH14" s="3">
        <f t="shared" si="10"/>
        <v>0</v>
      </c>
      <c r="AI14" s="3"/>
      <c r="AJ14" s="37">
        <f t="shared" si="11"/>
        <v>0</v>
      </c>
      <c r="AK14" s="37"/>
      <c r="AL14" s="16"/>
      <c r="AM14" s="22"/>
      <c r="AN14" s="22"/>
      <c r="AO14" s="41" t="str">
        <f t="shared" si="12"/>
        <v/>
      </c>
      <c r="AS14" s="6" t="str">
        <f t="shared" si="0"/>
        <v/>
      </c>
      <c r="AT14" s="39"/>
      <c r="AU14" s="1"/>
      <c r="AV14" s="5">
        <f t="shared" si="1"/>
        <v>13008.95</v>
      </c>
      <c r="AX14" s="3">
        <f t="shared" si="2"/>
        <v>693.18029999999999</v>
      </c>
      <c r="BM14" s="142" t="s">
        <v>184</v>
      </c>
    </row>
    <row r="15" spans="1:65" x14ac:dyDescent="0.2">
      <c r="A15" s="18" t="s">
        <v>9</v>
      </c>
      <c r="B15" s="1"/>
      <c r="C15" s="17"/>
      <c r="D15" s="11">
        <v>30</v>
      </c>
      <c r="E15" s="135">
        <v>256500</v>
      </c>
      <c r="F15" s="136">
        <v>741.6</v>
      </c>
      <c r="G15" s="136"/>
      <c r="H15" s="140">
        <v>16309.43</v>
      </c>
      <c r="I15" s="11">
        <v>205</v>
      </c>
      <c r="J15" s="11">
        <v>55</v>
      </c>
      <c r="K15" s="24"/>
      <c r="L15" s="24"/>
      <c r="M15" s="16">
        <f t="shared" si="3"/>
        <v>875.43449999999996</v>
      </c>
      <c r="N15" s="16"/>
      <c r="O15" s="16">
        <f t="shared" si="4"/>
        <v>8550</v>
      </c>
      <c r="P15" s="16"/>
      <c r="Q15" s="22"/>
      <c r="V15" s="25">
        <f t="shared" si="5"/>
        <v>0.48038025889967639</v>
      </c>
      <c r="W15" s="134" t="str">
        <f t="shared" si="6"/>
        <v/>
      </c>
      <c r="X15" s="26">
        <f t="shared" si="7"/>
        <v>6.3584522417153996E-2</v>
      </c>
      <c r="AA15" s="17"/>
      <c r="AB15" s="39">
        <v>30</v>
      </c>
      <c r="AC15" s="11"/>
      <c r="AD15" s="11"/>
      <c r="AE15" s="131">
        <f t="shared" si="8"/>
        <v>205</v>
      </c>
      <c r="AF15" s="131">
        <f t="shared" si="9"/>
        <v>55</v>
      </c>
      <c r="AG15" s="16"/>
      <c r="AH15" s="3">
        <f t="shared" si="10"/>
        <v>0</v>
      </c>
      <c r="AI15" s="3"/>
      <c r="AJ15" s="37">
        <f t="shared" si="11"/>
        <v>0</v>
      </c>
      <c r="AK15" s="37"/>
      <c r="AL15" s="16"/>
      <c r="AM15" s="22"/>
      <c r="AN15" s="22"/>
      <c r="AO15" s="41" t="str">
        <f t="shared" si="12"/>
        <v/>
      </c>
      <c r="AS15" s="6" t="str">
        <f t="shared" si="0"/>
        <v/>
      </c>
      <c r="AT15" s="39"/>
      <c r="AU15" s="1"/>
      <c r="AV15" s="5">
        <f t="shared" si="1"/>
        <v>16309.43</v>
      </c>
      <c r="AX15" s="3">
        <f t="shared" si="2"/>
        <v>875.43449999999996</v>
      </c>
      <c r="BM15" s="142" t="s">
        <v>185</v>
      </c>
    </row>
    <row r="16" spans="1:65" x14ac:dyDescent="0.2">
      <c r="A16" s="18" t="s">
        <v>10</v>
      </c>
      <c r="B16" s="1"/>
      <c r="C16" s="17"/>
      <c r="D16" s="11">
        <v>31</v>
      </c>
      <c r="E16" s="135">
        <v>299400</v>
      </c>
      <c r="F16" s="136">
        <v>794.1</v>
      </c>
      <c r="G16" s="136"/>
      <c r="H16" s="140">
        <v>24014.92</v>
      </c>
      <c r="I16" s="11">
        <v>0</v>
      </c>
      <c r="J16" s="11">
        <v>69</v>
      </c>
      <c r="K16" s="24"/>
      <c r="L16" s="24"/>
      <c r="M16" s="16">
        <f t="shared" si="3"/>
        <v>1021.8521999999999</v>
      </c>
      <c r="N16" s="16"/>
      <c r="O16" s="16">
        <f t="shared" si="4"/>
        <v>9658.0645161290322</v>
      </c>
      <c r="P16" s="16"/>
      <c r="Q16" s="22"/>
      <c r="V16" s="25">
        <f t="shared" si="5"/>
        <v>0.5067615600537837</v>
      </c>
      <c r="W16" s="134" t="str">
        <f t="shared" si="6"/>
        <v/>
      </c>
      <c r="X16" s="26">
        <f t="shared" si="7"/>
        <v>8.0210153640614554E-2</v>
      </c>
      <c r="AA16" s="17"/>
      <c r="AB16" s="39">
        <v>31</v>
      </c>
      <c r="AC16" s="11"/>
      <c r="AD16" s="11"/>
      <c r="AE16" s="131">
        <f t="shared" si="8"/>
        <v>0</v>
      </c>
      <c r="AF16" s="131">
        <f t="shared" si="9"/>
        <v>69</v>
      </c>
      <c r="AG16" s="16"/>
      <c r="AH16" s="3">
        <f t="shared" si="10"/>
        <v>0</v>
      </c>
      <c r="AI16" s="3"/>
      <c r="AJ16" s="37">
        <f t="shared" si="11"/>
        <v>0</v>
      </c>
      <c r="AK16" s="37"/>
      <c r="AL16" s="16"/>
      <c r="AM16" s="22"/>
      <c r="AN16" s="22"/>
      <c r="AO16" s="41" t="str">
        <f t="shared" si="12"/>
        <v/>
      </c>
      <c r="AS16" s="6" t="str">
        <f t="shared" si="0"/>
        <v/>
      </c>
      <c r="AT16" s="39"/>
      <c r="AU16" s="1"/>
      <c r="AV16" s="5">
        <f t="shared" si="1"/>
        <v>24014.92</v>
      </c>
      <c r="AX16" s="3">
        <f t="shared" si="2"/>
        <v>1021.8521999999999</v>
      </c>
      <c r="BM16" s="142" t="s">
        <v>186</v>
      </c>
    </row>
    <row r="17" spans="1:65" x14ac:dyDescent="0.2">
      <c r="A17" s="18" t="s">
        <v>11</v>
      </c>
      <c r="B17" s="1"/>
      <c r="C17" s="17"/>
      <c r="D17" s="11">
        <v>30</v>
      </c>
      <c r="E17" s="135">
        <v>243000</v>
      </c>
      <c r="F17" s="136">
        <v>810.3</v>
      </c>
      <c r="G17" s="136"/>
      <c r="H17" s="141">
        <v>20673.13</v>
      </c>
      <c r="I17" s="11">
        <v>0</v>
      </c>
      <c r="J17" s="11">
        <v>75</v>
      </c>
      <c r="K17" s="24"/>
      <c r="L17" s="24"/>
      <c r="M17" s="16">
        <f t="shared" si="3"/>
        <v>829.35899999999992</v>
      </c>
      <c r="N17" s="16"/>
      <c r="O17" s="16">
        <f t="shared" si="4"/>
        <v>8100</v>
      </c>
      <c r="P17" s="16"/>
      <c r="Q17" s="22"/>
      <c r="V17" s="25">
        <f t="shared" si="5"/>
        <v>0.41651240281377266</v>
      </c>
      <c r="W17" s="134" t="str">
        <f t="shared" si="6"/>
        <v/>
      </c>
      <c r="X17" s="26">
        <f t="shared" si="7"/>
        <v>8.5074609053497952E-2</v>
      </c>
      <c r="AA17" s="17"/>
      <c r="AB17" s="39">
        <v>30</v>
      </c>
      <c r="AC17" s="11"/>
      <c r="AD17" s="11"/>
      <c r="AE17" s="131">
        <f t="shared" si="8"/>
        <v>0</v>
      </c>
      <c r="AF17" s="131">
        <f t="shared" si="9"/>
        <v>75</v>
      </c>
      <c r="AG17" s="16"/>
      <c r="AH17" s="3">
        <f t="shared" si="10"/>
        <v>0</v>
      </c>
      <c r="AI17" s="3"/>
      <c r="AJ17" s="37">
        <f t="shared" si="11"/>
        <v>0</v>
      </c>
      <c r="AK17" s="37"/>
      <c r="AL17" s="16"/>
      <c r="AM17" s="22"/>
      <c r="AN17" s="22"/>
      <c r="AO17" s="41" t="str">
        <f t="shared" si="12"/>
        <v/>
      </c>
      <c r="AS17" s="6" t="str">
        <f t="shared" si="0"/>
        <v/>
      </c>
      <c r="AT17" s="39"/>
      <c r="AU17" s="1"/>
      <c r="AV17" s="5">
        <f t="shared" si="1"/>
        <v>20673.13</v>
      </c>
      <c r="AX17" s="3">
        <f t="shared" si="2"/>
        <v>829.35899999999992</v>
      </c>
      <c r="BM17" s="142" t="s">
        <v>187</v>
      </c>
    </row>
    <row r="18" spans="1:65" x14ac:dyDescent="0.2">
      <c r="A18" s="18" t="s">
        <v>12</v>
      </c>
      <c r="B18" s="1"/>
      <c r="C18" s="17"/>
      <c r="D18" s="11">
        <v>31</v>
      </c>
      <c r="E18" s="135">
        <v>250800</v>
      </c>
      <c r="F18" s="136">
        <v>628.20000000000005</v>
      </c>
      <c r="G18" s="136"/>
      <c r="H18" s="141">
        <v>19857.34</v>
      </c>
      <c r="I18" s="11">
        <v>0</v>
      </c>
      <c r="J18" s="11">
        <v>79</v>
      </c>
      <c r="K18" s="24"/>
      <c r="L18" s="24"/>
      <c r="M18" s="16">
        <f t="shared" si="3"/>
        <v>855.98039999999992</v>
      </c>
      <c r="N18" s="16"/>
      <c r="O18" s="16">
        <f t="shared" si="4"/>
        <v>8090.322580645161</v>
      </c>
      <c r="P18" s="16"/>
      <c r="Q18" s="22"/>
      <c r="V18" s="25">
        <f t="shared" si="5"/>
        <v>0.5366074087767404</v>
      </c>
      <c r="W18" s="134" t="str">
        <f t="shared" si="6"/>
        <v/>
      </c>
      <c r="X18" s="26">
        <f t="shared" si="7"/>
        <v>7.917599681020733E-2</v>
      </c>
      <c r="AA18" s="17"/>
      <c r="AB18" s="39">
        <v>31</v>
      </c>
      <c r="AC18" s="11"/>
      <c r="AD18" s="11"/>
      <c r="AE18" s="131">
        <f t="shared" si="8"/>
        <v>0</v>
      </c>
      <c r="AF18" s="131">
        <f t="shared" si="9"/>
        <v>79</v>
      </c>
      <c r="AG18" s="16"/>
      <c r="AH18" s="3">
        <f t="shared" si="10"/>
        <v>0</v>
      </c>
      <c r="AI18" s="3"/>
      <c r="AJ18" s="37">
        <f t="shared" si="11"/>
        <v>0</v>
      </c>
      <c r="AK18" s="37"/>
      <c r="AL18" s="16"/>
      <c r="AM18" s="22"/>
      <c r="AN18" s="22"/>
      <c r="AO18" s="41" t="str">
        <f t="shared" si="12"/>
        <v/>
      </c>
      <c r="AS18" s="6" t="str">
        <f t="shared" si="0"/>
        <v/>
      </c>
      <c r="AT18" s="39"/>
      <c r="AU18" s="1"/>
      <c r="AV18" s="5">
        <f t="shared" si="1"/>
        <v>19857.34</v>
      </c>
      <c r="AX18" s="3">
        <f t="shared" si="2"/>
        <v>855.98039999999992</v>
      </c>
      <c r="BM18" s="142" t="s">
        <v>188</v>
      </c>
    </row>
    <row r="19" spans="1:65" x14ac:dyDescent="0.2">
      <c r="A19" s="18" t="s">
        <v>13</v>
      </c>
      <c r="B19" s="1"/>
      <c r="C19" s="17"/>
      <c r="D19" s="11">
        <v>31</v>
      </c>
      <c r="E19" s="135">
        <v>351300</v>
      </c>
      <c r="F19" s="136">
        <v>1104.5999999999999</v>
      </c>
      <c r="G19" s="136"/>
      <c r="H19" s="141">
        <v>29670.46</v>
      </c>
      <c r="I19" s="11">
        <v>0</v>
      </c>
      <c r="J19" s="11">
        <v>83</v>
      </c>
      <c r="K19" s="24"/>
      <c r="L19" s="24"/>
      <c r="M19" s="16">
        <f t="shared" si="3"/>
        <v>1198.9868999999999</v>
      </c>
      <c r="N19" s="16"/>
      <c r="O19" s="16">
        <f t="shared" si="4"/>
        <v>11332.258064516129</v>
      </c>
      <c r="P19" s="16"/>
      <c r="Q19" s="22"/>
      <c r="V19" s="25">
        <f t="shared" si="5"/>
        <v>0.42746462009310043</v>
      </c>
      <c r="W19" s="134" t="str">
        <f t="shared" si="6"/>
        <v/>
      </c>
      <c r="X19" s="26">
        <f t="shared" si="7"/>
        <v>8.4459037859379443E-2</v>
      </c>
      <c r="AA19" s="17"/>
      <c r="AB19" s="39">
        <v>31</v>
      </c>
      <c r="AC19" s="11"/>
      <c r="AD19" s="11"/>
      <c r="AE19" s="131">
        <f t="shared" si="8"/>
        <v>0</v>
      </c>
      <c r="AF19" s="131">
        <f t="shared" si="9"/>
        <v>83</v>
      </c>
      <c r="AG19" s="16"/>
      <c r="AH19" s="3">
        <f t="shared" si="10"/>
        <v>0</v>
      </c>
      <c r="AI19" s="3"/>
      <c r="AJ19" s="37">
        <f t="shared" si="11"/>
        <v>0</v>
      </c>
      <c r="AK19" s="37"/>
      <c r="AL19" s="16"/>
      <c r="AM19" s="22"/>
      <c r="AN19" s="22"/>
      <c r="AO19" s="41" t="str">
        <f t="shared" si="12"/>
        <v/>
      </c>
      <c r="AS19" s="6" t="str">
        <f t="shared" si="0"/>
        <v/>
      </c>
      <c r="AT19" s="39"/>
      <c r="AU19" s="1"/>
      <c r="AV19" s="5">
        <f t="shared" si="1"/>
        <v>29670.46</v>
      </c>
      <c r="AX19" s="3">
        <f t="shared" si="2"/>
        <v>1198.9868999999999</v>
      </c>
      <c r="BM19" s="142" t="s">
        <v>189</v>
      </c>
    </row>
    <row r="20" spans="1:65" x14ac:dyDescent="0.2">
      <c r="A20" s="18" t="s">
        <v>14</v>
      </c>
      <c r="B20" s="1"/>
      <c r="C20" s="17"/>
      <c r="D20" s="11">
        <v>30</v>
      </c>
      <c r="E20" s="135">
        <v>367500</v>
      </c>
      <c r="F20" s="136">
        <v>871.8</v>
      </c>
      <c r="G20" s="136"/>
      <c r="H20" s="141">
        <v>27630.74</v>
      </c>
      <c r="I20" s="11">
        <v>0</v>
      </c>
      <c r="J20" s="11">
        <v>73</v>
      </c>
      <c r="K20" s="24"/>
      <c r="L20" s="24"/>
      <c r="M20" s="16">
        <f t="shared" si="3"/>
        <v>1254.2774999999999</v>
      </c>
      <c r="N20" s="16"/>
      <c r="O20" s="16">
        <f t="shared" si="4"/>
        <v>12250</v>
      </c>
      <c r="P20" s="16"/>
      <c r="Q20" s="22"/>
      <c r="V20" s="25">
        <f t="shared" si="5"/>
        <v>0.58547449720883993</v>
      </c>
      <c r="W20" s="134" t="str">
        <f t="shared" si="6"/>
        <v/>
      </c>
      <c r="X20" s="26">
        <f t="shared" si="7"/>
        <v>7.5185687074829935E-2</v>
      </c>
      <c r="AA20" s="17"/>
      <c r="AB20" s="39">
        <v>30</v>
      </c>
      <c r="AC20" s="11"/>
      <c r="AD20" s="11"/>
      <c r="AE20" s="131">
        <f t="shared" si="8"/>
        <v>0</v>
      </c>
      <c r="AF20" s="131">
        <f t="shared" si="9"/>
        <v>73</v>
      </c>
      <c r="AG20" s="16"/>
      <c r="AH20" s="3">
        <f t="shared" si="10"/>
        <v>0</v>
      </c>
      <c r="AI20" s="3"/>
      <c r="AJ20" s="37">
        <f t="shared" si="11"/>
        <v>0</v>
      </c>
      <c r="AK20" s="37"/>
      <c r="AL20" s="16"/>
      <c r="AM20" s="22"/>
      <c r="AN20" s="22"/>
      <c r="AO20" s="41" t="str">
        <f t="shared" si="12"/>
        <v/>
      </c>
      <c r="AS20" s="6" t="str">
        <f>IF(ISBLANK(AC20),"",+AC20/AE20)</f>
        <v/>
      </c>
      <c r="AT20" s="39"/>
      <c r="AU20" s="1"/>
      <c r="AV20" s="5">
        <f t="shared" si="1"/>
        <v>27630.74</v>
      </c>
      <c r="AX20" s="3">
        <f t="shared" si="2"/>
        <v>1254.2774999999999</v>
      </c>
      <c r="BM20" s="142" t="s">
        <v>190</v>
      </c>
    </row>
    <row r="21" spans="1:65" x14ac:dyDescent="0.2">
      <c r="A21" s="18" t="s">
        <v>15</v>
      </c>
      <c r="B21" s="1"/>
      <c r="C21" s="17"/>
      <c r="D21" s="11">
        <v>31</v>
      </c>
      <c r="E21" s="135">
        <v>275400</v>
      </c>
      <c r="F21" s="136">
        <v>762.9</v>
      </c>
      <c r="G21" s="136"/>
      <c r="H21" s="141">
        <v>18254.7</v>
      </c>
      <c r="I21" s="11">
        <v>77</v>
      </c>
      <c r="J21" s="11">
        <v>62</v>
      </c>
      <c r="K21" s="24"/>
      <c r="L21" s="24"/>
      <c r="M21" s="16">
        <f t="shared" si="3"/>
        <v>939.94019999999989</v>
      </c>
      <c r="N21" s="16"/>
      <c r="O21" s="16">
        <f t="shared" si="4"/>
        <v>8883.8709677419356</v>
      </c>
      <c r="P21" s="16"/>
      <c r="Q21" s="22"/>
      <c r="V21" s="25">
        <f t="shared" si="5"/>
        <v>0.48520289726383625</v>
      </c>
      <c r="W21" s="134" t="str">
        <f t="shared" si="6"/>
        <v/>
      </c>
      <c r="X21" s="26">
        <f t="shared" si="7"/>
        <v>6.6284313725490193E-2</v>
      </c>
      <c r="AA21" s="17"/>
      <c r="AB21" s="39">
        <v>31</v>
      </c>
      <c r="AC21" s="131">
        <v>2630</v>
      </c>
      <c r="AD21" s="129">
        <v>1234.1800431965441</v>
      </c>
      <c r="AE21" s="131">
        <f t="shared" si="8"/>
        <v>77</v>
      </c>
      <c r="AF21" s="131">
        <f t="shared" si="9"/>
        <v>62</v>
      </c>
      <c r="AG21" s="16"/>
      <c r="AH21" s="3">
        <f t="shared" si="10"/>
        <v>263</v>
      </c>
      <c r="AI21" s="3"/>
      <c r="AJ21" s="37">
        <f t="shared" si="11"/>
        <v>84.838709677419359</v>
      </c>
      <c r="AK21" s="37"/>
      <c r="AL21" s="16"/>
      <c r="AM21" s="22"/>
      <c r="AN21" s="22"/>
      <c r="AO21" s="41">
        <f t="shared" si="12"/>
        <v>0.46926997840172779</v>
      </c>
      <c r="AS21" s="6">
        <f t="shared" ref="AS21:AS84" si="13">IF(ISBLANK(AC21),"",+AC21/AE21)</f>
        <v>34.155844155844157</v>
      </c>
      <c r="AT21" s="39"/>
      <c r="AU21" s="1"/>
      <c r="AV21" s="5">
        <f t="shared" si="1"/>
        <v>19488.880043196546</v>
      </c>
      <c r="AX21" s="3">
        <f t="shared" si="2"/>
        <v>1202.9402</v>
      </c>
      <c r="BM21" s="142" t="s">
        <v>191</v>
      </c>
    </row>
    <row r="22" spans="1:65" x14ac:dyDescent="0.2">
      <c r="A22" s="18" t="s">
        <v>16</v>
      </c>
      <c r="B22" s="1"/>
      <c r="C22" s="17"/>
      <c r="D22" s="11">
        <v>30</v>
      </c>
      <c r="E22" s="135">
        <v>304200</v>
      </c>
      <c r="F22" s="136">
        <v>766.5</v>
      </c>
      <c r="G22" s="136"/>
      <c r="H22" s="141">
        <v>20412.03</v>
      </c>
      <c r="I22" s="11">
        <v>349</v>
      </c>
      <c r="J22" s="11">
        <v>49</v>
      </c>
      <c r="K22" s="24"/>
      <c r="L22" s="24"/>
      <c r="M22" s="16">
        <f t="shared" si="3"/>
        <v>1038.2346</v>
      </c>
      <c r="N22" s="16"/>
      <c r="O22" s="16">
        <f t="shared" si="4"/>
        <v>10140</v>
      </c>
      <c r="P22" s="16"/>
      <c r="Q22" s="22"/>
      <c r="V22" s="25">
        <f t="shared" si="5"/>
        <v>0.55120678408349644</v>
      </c>
      <c r="W22" s="134" t="str">
        <f t="shared" si="6"/>
        <v/>
      </c>
      <c r="X22" s="26">
        <f t="shared" si="7"/>
        <v>6.7100690335305718E-2</v>
      </c>
      <c r="AA22" s="17"/>
      <c r="AB22" s="39">
        <v>30</v>
      </c>
      <c r="AC22" s="131">
        <v>14250</v>
      </c>
      <c r="AD22" s="129">
        <v>6687.0971922246217</v>
      </c>
      <c r="AE22" s="131">
        <f t="shared" si="8"/>
        <v>349</v>
      </c>
      <c r="AF22" s="131">
        <f t="shared" si="9"/>
        <v>49</v>
      </c>
      <c r="AG22" s="16"/>
      <c r="AH22" s="3">
        <f t="shared" si="10"/>
        <v>1425</v>
      </c>
      <c r="AI22" s="3"/>
      <c r="AJ22" s="37">
        <f t="shared" si="11"/>
        <v>475</v>
      </c>
      <c r="AK22" s="37"/>
      <c r="AL22" s="16"/>
      <c r="AM22" s="22"/>
      <c r="AN22" s="22"/>
      <c r="AO22" s="41">
        <f t="shared" si="12"/>
        <v>0.46926997840172785</v>
      </c>
      <c r="AS22" s="6">
        <f t="shared" si="13"/>
        <v>40.830945558739252</v>
      </c>
      <c r="AT22" s="39"/>
      <c r="AU22" s="1"/>
      <c r="AV22" s="5">
        <f t="shared" si="1"/>
        <v>27099.12719222462</v>
      </c>
      <c r="AX22" s="3">
        <f t="shared" si="2"/>
        <v>2463.2345999999998</v>
      </c>
      <c r="BM22" s="142" t="s">
        <v>196</v>
      </c>
    </row>
    <row r="23" spans="1:65" x14ac:dyDescent="0.2">
      <c r="A23" s="18" t="s">
        <v>17</v>
      </c>
      <c r="B23" s="1"/>
      <c r="C23" s="17"/>
      <c r="D23" s="11">
        <v>31</v>
      </c>
      <c r="E23" s="135">
        <v>296400</v>
      </c>
      <c r="F23" s="136">
        <v>703.2</v>
      </c>
      <c r="G23" s="136"/>
      <c r="H23" s="141">
        <v>19747.580000000002</v>
      </c>
      <c r="I23" s="11">
        <v>745</v>
      </c>
      <c r="J23" s="11">
        <v>35</v>
      </c>
      <c r="K23" s="24">
        <f>IF(ISBLANK(E23),"",SUM(E12:E23))</f>
        <v>3246000</v>
      </c>
      <c r="L23" s="24">
        <f>IF(ISBLANK(I23),"",SUM(I12:I23))</f>
        <v>2963</v>
      </c>
      <c r="M23" s="16">
        <f t="shared" si="3"/>
        <v>1011.6131999999999</v>
      </c>
      <c r="N23" s="16">
        <f>SUM(M12:M23)</f>
        <v>11078.597999999998</v>
      </c>
      <c r="O23" s="16">
        <f t="shared" si="4"/>
        <v>9561.2903225806458</v>
      </c>
      <c r="P23" s="16">
        <f>IF(ISBLANK(E23),"",AVERAGE(O12:O23))</f>
        <v>8890.6317204301067</v>
      </c>
      <c r="Q23" s="27"/>
      <c r="R23" s="27"/>
      <c r="S23" s="86">
        <f t="shared" ref="S23:S33" si="14">IF(ISBLANK(F23),"",AVERAGE(F12:F23))</f>
        <v>746.52499999999998</v>
      </c>
      <c r="T23" s="27"/>
      <c r="U23" s="27"/>
      <c r="V23" s="25">
        <f t="shared" si="5"/>
        <v>0.56653455172666878</v>
      </c>
      <c r="W23" s="134" t="str">
        <f t="shared" si="6"/>
        <v/>
      </c>
      <c r="X23" s="26">
        <f t="shared" si="7"/>
        <v>6.6624763832658571E-2</v>
      </c>
      <c r="Y23" s="33">
        <f>IF(ISBLANK(E23),"",SUM(H12:H23))</f>
        <v>233963.96999999997</v>
      </c>
      <c r="Z23" s="29">
        <f>IF(ISBLANK(E23),"",+Y23/K23)</f>
        <v>7.2077624768946386E-2</v>
      </c>
      <c r="AA23" s="17"/>
      <c r="AB23" s="39">
        <v>31</v>
      </c>
      <c r="AC23" s="131">
        <v>28350</v>
      </c>
      <c r="AD23" s="129">
        <v>13303.803887688984</v>
      </c>
      <c r="AE23" s="131">
        <f t="shared" si="8"/>
        <v>745</v>
      </c>
      <c r="AF23" s="131">
        <f t="shared" si="9"/>
        <v>35</v>
      </c>
      <c r="AG23" s="3">
        <f>IF(ISBLANK(AC23),"",SUM(AC12:AC23))</f>
        <v>45230</v>
      </c>
      <c r="AH23" s="3">
        <f t="shared" si="10"/>
        <v>2835</v>
      </c>
      <c r="AI23" s="3">
        <f>IF(ISBLANK(AC23),"",SUM(AH12:AH23))</f>
        <v>4523</v>
      </c>
      <c r="AJ23" s="37">
        <f t="shared" si="11"/>
        <v>914.51612903225805</v>
      </c>
      <c r="AK23" s="37">
        <f>IF(ISBLANK(AB23),"",SUM(AB12:AB23))</f>
        <v>365</v>
      </c>
      <c r="AL23" s="16">
        <f>IF(ISBLANK(AB23),"",AG23/AK23)</f>
        <v>123.91780821917808</v>
      </c>
      <c r="AM23" s="27"/>
      <c r="AN23" s="27"/>
      <c r="AO23" s="41">
        <f t="shared" si="12"/>
        <v>0.46926997840172785</v>
      </c>
      <c r="AP23" s="5">
        <f>IF(ISBLANK(AD23),"",SUM(AD12:AD23))</f>
        <v>21225.081123110151</v>
      </c>
      <c r="AQ23" s="4">
        <f>IF(ISBLANK(AD23),"",+AP23/AG23)</f>
        <v>0.46926997840172785</v>
      </c>
      <c r="AR23">
        <f>IF(ISBLANK(AE23),"",SUM(AE12:AE23))</f>
        <v>2963</v>
      </c>
      <c r="AS23" s="6">
        <f t="shared" si="13"/>
        <v>38.053691275167786</v>
      </c>
      <c r="AT23" s="39"/>
      <c r="AU23" s="1">
        <f>SUM(AT12:AT23)</f>
        <v>0</v>
      </c>
      <c r="AV23" s="5">
        <f t="shared" si="1"/>
        <v>33051.383887688986</v>
      </c>
      <c r="AW23" s="9">
        <f>SUM(AV12:AV23)</f>
        <v>255189.05112311011</v>
      </c>
      <c r="AX23" s="3">
        <f t="shared" si="2"/>
        <v>3846.6131999999998</v>
      </c>
      <c r="AY23" s="3">
        <f>SUM(AX12:AX23)</f>
        <v>15601.597999999998</v>
      </c>
      <c r="AZ23" s="3">
        <f>+N23*1000000/$B$4</f>
        <v>25395.416326642884</v>
      </c>
      <c r="BA23" s="3">
        <f>+AI23*1000000/$B$4</f>
        <v>10368.050907290415</v>
      </c>
      <c r="BB23" s="10">
        <f t="shared" ref="BB23:BB77" si="15">+AY23*1000000/$B$4</f>
        <v>35763.467233933297</v>
      </c>
      <c r="BC23" s="14">
        <f>IF(AR23&gt;0,BB23/AR23,BB23/L23)</f>
        <v>12.070019316211035</v>
      </c>
      <c r="BD23" s="2">
        <f t="shared" ref="BD23:BD66" si="16">+AW23/$B$4</f>
        <v>0.58496862105406633</v>
      </c>
      <c r="BE23" s="6">
        <f t="shared" ref="BE23:BE66" si="17">+K23/$B$4</f>
        <v>7.4407900165962166</v>
      </c>
      <c r="BF23" s="15">
        <f>+AG23/$B$4</f>
        <v>0.10368050907290416</v>
      </c>
      <c r="BM23" s="13"/>
    </row>
    <row r="24" spans="1:65" x14ac:dyDescent="0.2">
      <c r="A24" s="21" t="str">
        <f>IF(B24=2006,$BI$35,IF(B24=2007,$BJ$35,IF(B24=2008,$BK$35,IF(B24=2009,$BL$35,IF(B24=2010,$BM$35,IF(B24=2011,$BN$35,IF(B24=2012,$BO$35,"")))))))</f>
        <v>JAN 8</v>
      </c>
      <c r="B24" s="37">
        <f>B12+1</f>
        <v>2008</v>
      </c>
      <c r="C24" s="17"/>
      <c r="D24" s="11">
        <v>31</v>
      </c>
      <c r="E24" s="135">
        <v>252600</v>
      </c>
      <c r="F24" s="136">
        <v>703.2</v>
      </c>
      <c r="G24" s="136"/>
      <c r="H24" s="141">
        <v>17174.86</v>
      </c>
      <c r="I24" s="11">
        <v>762</v>
      </c>
      <c r="J24" s="11">
        <v>35</v>
      </c>
      <c r="K24" s="24">
        <f t="shared" ref="K24:K84" si="18">IF(ISBLANK(E24),"",SUM(E13:E24))</f>
        <v>3308100</v>
      </c>
      <c r="L24" s="24">
        <f t="shared" ref="L24:L84" si="19">IF(ISBLANK(I24),"",SUM(I13:I24))</f>
        <v>2924</v>
      </c>
      <c r="M24" s="16">
        <f t="shared" si="3"/>
        <v>862.12379999999996</v>
      </c>
      <c r="N24" s="16">
        <f t="shared" ref="N24:N84" si="20">SUM(M13:M24)</f>
        <v>11290.545299999998</v>
      </c>
      <c r="O24" s="16">
        <f t="shared" si="4"/>
        <v>8148.3870967741932</v>
      </c>
      <c r="P24" s="16">
        <f t="shared" ref="P24:P84" si="21">IF(ISBLANK(E24),"",AVERAGE(O13:O24))</f>
        <v>9057.5672043010763</v>
      </c>
      <c r="Q24" s="27">
        <f>IF(ISBLANK(E24),"",-(O12-O24)/O12)</f>
        <v>0.32598425196850389</v>
      </c>
      <c r="R24" s="27"/>
      <c r="S24" s="86">
        <f t="shared" si="14"/>
        <v>759.25</v>
      </c>
      <c r="T24" s="27">
        <f>IF(ISBLANK(F24),"",-(F12-F24)/F12)</f>
        <v>0.2773841961852862</v>
      </c>
      <c r="U24" s="27"/>
      <c r="V24" s="25">
        <f t="shared" si="5"/>
        <v>0.48281588315167523</v>
      </c>
      <c r="W24" s="134" t="str">
        <f t="shared" si="6"/>
        <v/>
      </c>
      <c r="X24" s="26">
        <f t="shared" si="7"/>
        <v>6.7992319873317497E-2</v>
      </c>
      <c r="Y24" s="33">
        <f t="shared" ref="Y24:Y84" si="22">IF(ISBLANK(E24),"",SUM(H13:H24))</f>
        <v>239662.37</v>
      </c>
      <c r="Z24" s="29">
        <f t="shared" ref="Z24:Z84" si="23">IF(ISBLANK(E24),"",+Y24/K24)</f>
        <v>7.2447135818143341E-2</v>
      </c>
      <c r="AA24" s="17"/>
      <c r="AB24" s="39">
        <v>31</v>
      </c>
      <c r="AC24" s="131">
        <v>33280</v>
      </c>
      <c r="AD24" s="129">
        <v>15617.304881209502</v>
      </c>
      <c r="AE24" s="131">
        <f t="shared" si="8"/>
        <v>762</v>
      </c>
      <c r="AF24" s="131">
        <f t="shared" si="9"/>
        <v>35</v>
      </c>
      <c r="AG24" s="3">
        <f t="shared" ref="AG24:AG84" si="24">IF(ISBLANK(AC24),"",SUM(AC13:AC24))</f>
        <v>78510</v>
      </c>
      <c r="AH24" s="3">
        <f t="shared" si="10"/>
        <v>3328</v>
      </c>
      <c r="AI24" s="3">
        <f t="shared" ref="AI24:AI84" si="25">IF(ISBLANK(AC24),"",SUM(AH13:AH24))</f>
        <v>7851</v>
      </c>
      <c r="AJ24" s="37">
        <f t="shared" si="11"/>
        <v>1073.5483870967741</v>
      </c>
      <c r="AK24" s="37">
        <f t="shared" ref="AK24:AK84" si="26">IF(ISBLANK(AB24),"",SUM(AB13:AB24))</f>
        <v>365</v>
      </c>
      <c r="AL24" s="16">
        <f t="shared" ref="AL24:AL84" si="27">IF(ISBLANK(AB24),"",AG24/AK24)</f>
        <v>215.0958904109589</v>
      </c>
      <c r="AM24" s="27" t="e">
        <f>IF(ISBLANK(AC24),"",-(AJ12-AJ24)/AJ12)</f>
        <v>#DIV/0!</v>
      </c>
      <c r="AN24" s="27"/>
      <c r="AO24" s="41">
        <f t="shared" si="12"/>
        <v>0.46926997840172785</v>
      </c>
      <c r="AP24" s="5">
        <f>IF(ISBLANK(AD24),"",SUM(AD13:AD24))</f>
        <v>36842.386004319655</v>
      </c>
      <c r="AQ24" s="4">
        <f t="shared" ref="AQ24:AQ84" si="28">IF(ISBLANK(AD24),"",+AP24/AG24)</f>
        <v>0.46926997840172785</v>
      </c>
      <c r="AR24">
        <f t="shared" ref="AR24:AR84" si="29">IF(ISBLANK(AE24),"",SUM(AE13:AE24))</f>
        <v>2924</v>
      </c>
      <c r="AS24" s="6">
        <f t="shared" si="13"/>
        <v>43.674540682414701</v>
      </c>
      <c r="AT24" s="39"/>
      <c r="AU24" s="1">
        <f t="shared" ref="AU24:AU77" si="30">SUM(AT13:AT24)</f>
        <v>0</v>
      </c>
      <c r="AV24" s="5">
        <f t="shared" si="1"/>
        <v>32792.164881209501</v>
      </c>
      <c r="AW24" s="9">
        <f t="shared" ref="AW24:AW62" si="31">SUM(AV13:AV24)</f>
        <v>276504.75600431964</v>
      </c>
      <c r="AX24" s="3">
        <f t="shared" si="2"/>
        <v>4190.1238000000003</v>
      </c>
      <c r="AY24" s="3">
        <f t="shared" ref="AY24:AY62" si="32">SUM(AX13:AX24)</f>
        <v>19141.545300000002</v>
      </c>
      <c r="AZ24" s="3">
        <f t="shared" ref="AZ24:AZ77" si="33">+N24*1000000/$B$4</f>
        <v>25881.262091856846</v>
      </c>
      <c r="BA24" s="3">
        <f t="shared" ref="BA24:BA77" si="34">+AI24*1000000/$B$4</f>
        <v>17996.809125168485</v>
      </c>
      <c r="BB24" s="10">
        <f t="shared" si="15"/>
        <v>43878.071217025332</v>
      </c>
      <c r="BC24" s="14">
        <f t="shared" ref="BC24:BC81" si="35">IF(AR24&gt;0,BB24/AR24,BB24/L24)</f>
        <v>15.006180306780209</v>
      </c>
      <c r="BD24" s="2">
        <f t="shared" si="16"/>
        <v>0.63383050770742899</v>
      </c>
      <c r="BE24" s="6">
        <f t="shared" si="17"/>
        <v>7.5831415446401556</v>
      </c>
      <c r="BF24" s="15">
        <f t="shared" ref="BF24:BF66" si="36">+AG24/$B$4</f>
        <v>0.17996809125168484</v>
      </c>
      <c r="BM24" s="13"/>
    </row>
    <row r="25" spans="1:65" x14ac:dyDescent="0.2">
      <c r="A25" s="18" t="s">
        <v>7</v>
      </c>
      <c r="B25" s="1"/>
      <c r="C25" s="17"/>
      <c r="D25" s="11">
        <v>29</v>
      </c>
      <c r="E25" s="135">
        <v>364500</v>
      </c>
      <c r="F25" s="136">
        <v>827.4</v>
      </c>
      <c r="G25" s="136"/>
      <c r="H25" s="141">
        <v>24660.99</v>
      </c>
      <c r="I25" s="11">
        <v>652</v>
      </c>
      <c r="J25" s="11">
        <v>37</v>
      </c>
      <c r="K25" s="24">
        <f t="shared" si="18"/>
        <v>3464700</v>
      </c>
      <c r="L25" s="24">
        <f t="shared" si="19"/>
        <v>2940</v>
      </c>
      <c r="M25" s="16">
        <f t="shared" si="3"/>
        <v>1244.0384999999999</v>
      </c>
      <c r="N25" s="16">
        <f t="shared" si="20"/>
        <v>11825.0211</v>
      </c>
      <c r="O25" s="16">
        <f t="shared" si="4"/>
        <v>12568.965517241379</v>
      </c>
      <c r="P25" s="16">
        <f t="shared" si="21"/>
        <v>9486.2309974045238</v>
      </c>
      <c r="Q25" s="27">
        <f t="shared" ref="Q25:Q84" si="37">IF(ISBLANK(E25),"",-(O13-O25)/O13)</f>
        <v>0.69278996865203757</v>
      </c>
      <c r="R25" s="27"/>
      <c r="S25" s="86">
        <f t="shared" si="14"/>
        <v>778.07499999999993</v>
      </c>
      <c r="T25" s="27">
        <f t="shared" ref="T25:T84" si="38">IF(ISBLANK(F25),"",-(F13-F25)/F13)</f>
        <v>0.37556109725685782</v>
      </c>
      <c r="U25" s="27"/>
      <c r="V25" s="25">
        <f t="shared" si="5"/>
        <v>0.63295491485584265</v>
      </c>
      <c r="W25" s="134" t="str">
        <f t="shared" si="6"/>
        <v/>
      </c>
      <c r="X25" s="26">
        <f t="shared" si="7"/>
        <v>6.7657037037037043E-2</v>
      </c>
      <c r="Y25" s="33">
        <f t="shared" si="22"/>
        <v>251415.13</v>
      </c>
      <c r="Z25" s="29">
        <f t="shared" si="23"/>
        <v>7.2564761739833172E-2</v>
      </c>
      <c r="AA25" s="17"/>
      <c r="AB25" s="39">
        <v>29</v>
      </c>
      <c r="AC25" s="131">
        <v>29140</v>
      </c>
      <c r="AD25" s="129">
        <v>13674.52717062635</v>
      </c>
      <c r="AE25" s="131">
        <f t="shared" si="8"/>
        <v>652</v>
      </c>
      <c r="AF25" s="131">
        <f t="shared" si="9"/>
        <v>37</v>
      </c>
      <c r="AG25" s="3">
        <f t="shared" si="24"/>
        <v>107650</v>
      </c>
      <c r="AH25" s="3">
        <f t="shared" si="10"/>
        <v>2914</v>
      </c>
      <c r="AI25" s="3">
        <f t="shared" si="25"/>
        <v>10765</v>
      </c>
      <c r="AJ25" s="37">
        <f t="shared" si="11"/>
        <v>1004.8275862068965</v>
      </c>
      <c r="AK25" s="37">
        <f t="shared" si="26"/>
        <v>366</v>
      </c>
      <c r="AL25" s="16">
        <f t="shared" si="27"/>
        <v>294.12568306010928</v>
      </c>
      <c r="AM25" s="27" t="e">
        <f t="shared" ref="AM25:AM84" si="39">IF(ISBLANK(AC25),"",-(AJ13-AJ25)/AJ13)</f>
        <v>#DIV/0!</v>
      </c>
      <c r="AN25" s="27"/>
      <c r="AO25" s="41">
        <f t="shared" si="12"/>
        <v>0.46926997840172785</v>
      </c>
      <c r="AP25" s="5">
        <f t="shared" ref="AP25:AP84" si="40">IF(ISBLANK(AD25),"",SUM(AD14:AD25))</f>
        <v>50516.913174946007</v>
      </c>
      <c r="AQ25" s="4">
        <f t="shared" si="28"/>
        <v>0.46926997840172791</v>
      </c>
      <c r="AR25">
        <f t="shared" si="29"/>
        <v>2940</v>
      </c>
      <c r="AS25" s="6">
        <f t="shared" si="13"/>
        <v>44.693251533742334</v>
      </c>
      <c r="AT25" s="39"/>
      <c r="AU25" s="1">
        <f t="shared" si="30"/>
        <v>0</v>
      </c>
      <c r="AV25" s="5">
        <f t="shared" si="1"/>
        <v>38335.51717062635</v>
      </c>
      <c r="AW25" s="9">
        <f t="shared" si="31"/>
        <v>301932.04317494598</v>
      </c>
      <c r="AX25" s="3">
        <f t="shared" si="2"/>
        <v>4158.0384999999997</v>
      </c>
      <c r="AY25" s="3">
        <f t="shared" si="32"/>
        <v>22590.021099999998</v>
      </c>
      <c r="AZ25" s="3">
        <f t="shared" si="33"/>
        <v>27106.438369352931</v>
      </c>
      <c r="BA25" s="3">
        <f t="shared" si="34"/>
        <v>24676.557156086961</v>
      </c>
      <c r="BB25" s="10">
        <f t="shared" si="15"/>
        <v>51782.995525439888</v>
      </c>
      <c r="BC25" s="14">
        <f t="shared" si="35"/>
        <v>17.613263784163227</v>
      </c>
      <c r="BD25" s="2">
        <f t="shared" si="16"/>
        <v>0.69211735445059641</v>
      </c>
      <c r="BE25" s="6">
        <f t="shared" si="17"/>
        <v>7.9421149631857402</v>
      </c>
      <c r="BF25" s="15">
        <f t="shared" si="36"/>
        <v>0.24676557156086962</v>
      </c>
      <c r="BM25" s="85"/>
    </row>
    <row r="26" spans="1:65" x14ac:dyDescent="0.2">
      <c r="A26" s="18" t="s">
        <v>8</v>
      </c>
      <c r="B26" s="1"/>
      <c r="C26" s="17"/>
      <c r="D26" s="131">
        <v>31</v>
      </c>
      <c r="E26" s="135">
        <v>280500</v>
      </c>
      <c r="F26" s="136">
        <v>990.3</v>
      </c>
      <c r="G26" s="136"/>
      <c r="H26" s="141">
        <v>20000.23</v>
      </c>
      <c r="I26" s="11">
        <v>361</v>
      </c>
      <c r="J26" s="11">
        <v>48</v>
      </c>
      <c r="K26" s="24">
        <f t="shared" si="18"/>
        <v>3542100</v>
      </c>
      <c r="L26" s="24">
        <f t="shared" si="19"/>
        <v>3151</v>
      </c>
      <c r="M26" s="16">
        <f t="shared" si="3"/>
        <v>957.34649999999999</v>
      </c>
      <c r="N26" s="16">
        <f t="shared" si="20"/>
        <v>12089.1873</v>
      </c>
      <c r="O26" s="16">
        <f t="shared" si="4"/>
        <v>9048.3870967741932</v>
      </c>
      <c r="P26" s="16">
        <f t="shared" si="21"/>
        <v>9694.295513533556</v>
      </c>
      <c r="Q26" s="27">
        <f t="shared" si="37"/>
        <v>0.38109305760709</v>
      </c>
      <c r="R26" s="27"/>
      <c r="S26" s="86">
        <f t="shared" si="14"/>
        <v>808.67499999999984</v>
      </c>
      <c r="T26" s="27">
        <f t="shared" si="38"/>
        <v>0.58931150698122281</v>
      </c>
      <c r="U26" s="27"/>
      <c r="V26" s="25">
        <f t="shared" si="5"/>
        <v>0.38070900639428262</v>
      </c>
      <c r="W26" s="134" t="str">
        <f t="shared" si="6"/>
        <v/>
      </c>
      <c r="X26" s="26">
        <f t="shared" si="7"/>
        <v>7.1302067736185387E-2</v>
      </c>
      <c r="Y26" s="33">
        <f t="shared" si="22"/>
        <v>258406.41</v>
      </c>
      <c r="Z26" s="29">
        <f t="shared" si="23"/>
        <v>7.2952883882442615E-2</v>
      </c>
      <c r="AA26" s="17"/>
      <c r="AB26" s="39">
        <v>31</v>
      </c>
      <c r="AC26" s="131">
        <v>19360</v>
      </c>
      <c r="AD26" s="129">
        <v>9085.0667818574511</v>
      </c>
      <c r="AE26" s="131">
        <f t="shared" si="8"/>
        <v>361</v>
      </c>
      <c r="AF26" s="131">
        <f t="shared" si="9"/>
        <v>48</v>
      </c>
      <c r="AG26" s="3">
        <f t="shared" si="24"/>
        <v>127010</v>
      </c>
      <c r="AH26" s="3">
        <f t="shared" si="10"/>
        <v>1936</v>
      </c>
      <c r="AI26" s="3">
        <f t="shared" si="25"/>
        <v>12701</v>
      </c>
      <c r="AJ26" s="37">
        <f t="shared" si="11"/>
        <v>624.51612903225805</v>
      </c>
      <c r="AK26" s="37">
        <f t="shared" si="26"/>
        <v>366</v>
      </c>
      <c r="AL26" s="16">
        <f t="shared" si="27"/>
        <v>347.02185792349729</v>
      </c>
      <c r="AM26" s="27" t="e">
        <f t="shared" si="39"/>
        <v>#DIV/0!</v>
      </c>
      <c r="AN26" s="27"/>
      <c r="AO26" s="41">
        <f t="shared" si="12"/>
        <v>0.46926997840172785</v>
      </c>
      <c r="AP26" s="5">
        <f t="shared" si="40"/>
        <v>59601.979956803458</v>
      </c>
      <c r="AQ26" s="4">
        <f t="shared" si="28"/>
        <v>0.46926997840172791</v>
      </c>
      <c r="AR26">
        <f t="shared" si="29"/>
        <v>3151</v>
      </c>
      <c r="AS26" s="6">
        <f t="shared" si="13"/>
        <v>53.628808864265928</v>
      </c>
      <c r="AT26" s="39"/>
      <c r="AU26" s="1">
        <f t="shared" si="30"/>
        <v>0</v>
      </c>
      <c r="AV26" s="5">
        <f t="shared" si="1"/>
        <v>29085.296781857451</v>
      </c>
      <c r="AW26" s="9">
        <f t="shared" si="31"/>
        <v>318008.38995680341</v>
      </c>
      <c r="AX26" s="3">
        <f t="shared" si="2"/>
        <v>2893.3465000000001</v>
      </c>
      <c r="AY26" s="3">
        <f t="shared" si="32"/>
        <v>24790.187299999998</v>
      </c>
      <c r="AZ26" s="3">
        <f t="shared" si="33"/>
        <v>27711.985265126856</v>
      </c>
      <c r="BA26" s="3">
        <f t="shared" si="34"/>
        <v>29114.440542448723</v>
      </c>
      <c r="BB26" s="10">
        <f t="shared" si="15"/>
        <v>56826.425807575572</v>
      </c>
      <c r="BC26" s="14">
        <f t="shared" si="35"/>
        <v>18.034409967494629</v>
      </c>
      <c r="BD26" s="2">
        <f t="shared" si="16"/>
        <v>0.72896908600875521</v>
      </c>
      <c r="BE26" s="6">
        <f t="shared" si="17"/>
        <v>8.1195386068347073</v>
      </c>
      <c r="BF26" s="15">
        <f t="shared" si="36"/>
        <v>0.29114440542448722</v>
      </c>
      <c r="BM26" s="85"/>
    </row>
    <row r="27" spans="1:65" x14ac:dyDescent="0.2">
      <c r="A27" s="18" t="s">
        <v>9</v>
      </c>
      <c r="B27" s="1"/>
      <c r="C27" s="17"/>
      <c r="D27" s="131">
        <v>30</v>
      </c>
      <c r="E27" s="135">
        <v>286500</v>
      </c>
      <c r="F27" s="136">
        <v>800.7</v>
      </c>
      <c r="G27" s="136"/>
      <c r="H27" s="141">
        <v>19883.59</v>
      </c>
      <c r="I27" s="11">
        <v>160</v>
      </c>
      <c r="J27" s="11">
        <v>56</v>
      </c>
      <c r="K27" s="24">
        <f t="shared" si="18"/>
        <v>3572100</v>
      </c>
      <c r="L27" s="24">
        <f t="shared" si="19"/>
        <v>3106</v>
      </c>
      <c r="M27" s="16">
        <f t="shared" si="3"/>
        <v>977.82449999999994</v>
      </c>
      <c r="N27" s="16">
        <f t="shared" si="20"/>
        <v>12191.577299999999</v>
      </c>
      <c r="O27" s="16">
        <f t="shared" si="4"/>
        <v>9550</v>
      </c>
      <c r="P27" s="16">
        <f t="shared" si="21"/>
        <v>9777.6288468668899</v>
      </c>
      <c r="Q27" s="27">
        <f t="shared" si="37"/>
        <v>0.11695906432748537</v>
      </c>
      <c r="R27" s="27"/>
      <c r="S27" s="86">
        <f t="shared" si="14"/>
        <v>813.59999999999991</v>
      </c>
      <c r="T27" s="27">
        <f t="shared" si="38"/>
        <v>7.9692556634304232E-2</v>
      </c>
      <c r="U27" s="27"/>
      <c r="V27" s="25">
        <f t="shared" si="5"/>
        <v>0.49696099246492653</v>
      </c>
      <c r="W27" s="134" t="str">
        <f t="shared" si="6"/>
        <v/>
      </c>
      <c r="X27" s="26">
        <f t="shared" si="7"/>
        <v>6.9401710296684113E-2</v>
      </c>
      <c r="Y27" s="33">
        <f t="shared" si="22"/>
        <v>261980.57</v>
      </c>
      <c r="Z27" s="29">
        <f t="shared" si="23"/>
        <v>7.3340771534951429E-2</v>
      </c>
      <c r="AA27" s="17"/>
      <c r="AB27" s="39">
        <v>30</v>
      </c>
      <c r="AC27" s="131">
        <v>13490</v>
      </c>
      <c r="AD27" s="129">
        <v>6330.4520086393086</v>
      </c>
      <c r="AE27" s="131">
        <f t="shared" si="8"/>
        <v>160</v>
      </c>
      <c r="AF27" s="131">
        <f t="shared" si="9"/>
        <v>56</v>
      </c>
      <c r="AG27" s="3">
        <f t="shared" si="24"/>
        <v>140500</v>
      </c>
      <c r="AH27" s="3">
        <f t="shared" si="10"/>
        <v>1349</v>
      </c>
      <c r="AI27" s="3">
        <f t="shared" si="25"/>
        <v>14050</v>
      </c>
      <c r="AJ27" s="37">
        <f t="shared" si="11"/>
        <v>449.66666666666669</v>
      </c>
      <c r="AK27" s="37">
        <f t="shared" si="26"/>
        <v>366</v>
      </c>
      <c r="AL27" s="16">
        <f t="shared" si="27"/>
        <v>383.87978142076503</v>
      </c>
      <c r="AM27" s="27" t="e">
        <f t="shared" si="39"/>
        <v>#DIV/0!</v>
      </c>
      <c r="AN27" s="27"/>
      <c r="AO27" s="41">
        <f t="shared" si="12"/>
        <v>0.46926997840172785</v>
      </c>
      <c r="AP27" s="5">
        <f t="shared" si="40"/>
        <v>65932.431965442767</v>
      </c>
      <c r="AQ27" s="4">
        <f t="shared" si="28"/>
        <v>0.46926997840172791</v>
      </c>
      <c r="AR27">
        <f t="shared" si="29"/>
        <v>3106</v>
      </c>
      <c r="AS27" s="6">
        <f t="shared" si="13"/>
        <v>84.3125</v>
      </c>
      <c r="AT27" s="39"/>
      <c r="AU27" s="1">
        <f t="shared" si="30"/>
        <v>0</v>
      </c>
      <c r="AV27" s="5">
        <f t="shared" si="1"/>
        <v>26214.04200863931</v>
      </c>
      <c r="AW27" s="9">
        <f t="shared" si="31"/>
        <v>327913.00196544273</v>
      </c>
      <c r="AX27" s="3">
        <f t="shared" si="2"/>
        <v>2326.8244999999997</v>
      </c>
      <c r="AY27" s="3">
        <f t="shared" si="32"/>
        <v>26241.577299999997</v>
      </c>
      <c r="AZ27" s="3">
        <f t="shared" si="33"/>
        <v>27946.693364264032</v>
      </c>
      <c r="BA27" s="3">
        <f t="shared" si="34"/>
        <v>32206.746683048936</v>
      </c>
      <c r="BB27" s="10">
        <f t="shared" si="15"/>
        <v>60153.440047312964</v>
      </c>
      <c r="BC27" s="14">
        <f t="shared" si="35"/>
        <v>19.36685127086702</v>
      </c>
      <c r="BD27" s="2">
        <f t="shared" si="16"/>
        <v>0.75167337995581085</v>
      </c>
      <c r="BE27" s="6">
        <f t="shared" si="17"/>
        <v>8.1883074609622142</v>
      </c>
      <c r="BF27" s="15">
        <f t="shared" si="36"/>
        <v>0.32206746683048937</v>
      </c>
      <c r="BM27" s="85"/>
    </row>
    <row r="28" spans="1:65" x14ac:dyDescent="0.2">
      <c r="A28" s="18" t="s">
        <v>10</v>
      </c>
      <c r="B28" s="1"/>
      <c r="C28" s="17"/>
      <c r="D28" s="131">
        <v>31</v>
      </c>
      <c r="E28" s="135">
        <v>306900</v>
      </c>
      <c r="F28" s="136">
        <v>793.8</v>
      </c>
      <c r="G28" s="136"/>
      <c r="H28" s="141">
        <v>29014.47</v>
      </c>
      <c r="I28" s="11">
        <v>19</v>
      </c>
      <c r="J28" s="11">
        <v>68</v>
      </c>
      <c r="K28" s="24">
        <f t="shared" si="18"/>
        <v>3579600</v>
      </c>
      <c r="L28" s="24">
        <f t="shared" si="19"/>
        <v>3125</v>
      </c>
      <c r="M28" s="16">
        <f t="shared" si="3"/>
        <v>1047.4496999999999</v>
      </c>
      <c r="N28" s="16">
        <f t="shared" si="20"/>
        <v>12217.174799999999</v>
      </c>
      <c r="O28" s="16">
        <f t="shared" si="4"/>
        <v>9900</v>
      </c>
      <c r="P28" s="16">
        <f t="shared" si="21"/>
        <v>9797.7901371894714</v>
      </c>
      <c r="Q28" s="27">
        <f t="shared" si="37"/>
        <v>2.5050100200400809E-2</v>
      </c>
      <c r="R28" s="27"/>
      <c r="S28" s="86">
        <f t="shared" si="14"/>
        <v>813.57499999999982</v>
      </c>
      <c r="T28" s="27">
        <f t="shared" si="38"/>
        <v>-3.7778617302615316E-4</v>
      </c>
      <c r="U28" s="27"/>
      <c r="V28" s="25">
        <f t="shared" si="5"/>
        <v>0.51965230536659113</v>
      </c>
      <c r="W28" s="134" t="str">
        <f t="shared" si="6"/>
        <v/>
      </c>
      <c r="X28" s="26">
        <f t="shared" si="7"/>
        <v>9.4540469208211145E-2</v>
      </c>
      <c r="Y28" s="33">
        <f t="shared" si="22"/>
        <v>266980.12</v>
      </c>
      <c r="Z28" s="29">
        <f t="shared" si="23"/>
        <v>7.4583785897865684E-2</v>
      </c>
      <c r="AA28" s="17"/>
      <c r="AB28" s="39">
        <v>31</v>
      </c>
      <c r="AC28" s="131">
        <v>8260</v>
      </c>
      <c r="AD28" s="129">
        <v>3876.1700215982719</v>
      </c>
      <c r="AE28" s="131">
        <f t="shared" si="8"/>
        <v>19</v>
      </c>
      <c r="AF28" s="131">
        <f t="shared" si="9"/>
        <v>68</v>
      </c>
      <c r="AG28" s="3">
        <f t="shared" si="24"/>
        <v>148760</v>
      </c>
      <c r="AH28" s="3">
        <f t="shared" si="10"/>
        <v>826</v>
      </c>
      <c r="AI28" s="3">
        <f t="shared" si="25"/>
        <v>14876</v>
      </c>
      <c r="AJ28" s="37">
        <f t="shared" si="11"/>
        <v>266.45161290322579</v>
      </c>
      <c r="AK28" s="37">
        <f t="shared" si="26"/>
        <v>366</v>
      </c>
      <c r="AL28" s="16">
        <f t="shared" si="27"/>
        <v>406.44808743169398</v>
      </c>
      <c r="AM28" s="27" t="e">
        <f t="shared" si="39"/>
        <v>#DIV/0!</v>
      </c>
      <c r="AN28" s="27"/>
      <c r="AO28" s="41">
        <f t="shared" si="12"/>
        <v>0.46926997840172785</v>
      </c>
      <c r="AP28" s="5">
        <f t="shared" si="40"/>
        <v>69808.601987041038</v>
      </c>
      <c r="AQ28" s="4">
        <f t="shared" si="28"/>
        <v>0.46926997840172785</v>
      </c>
      <c r="AR28">
        <f t="shared" si="29"/>
        <v>3125</v>
      </c>
      <c r="AS28" s="6">
        <f t="shared" si="13"/>
        <v>434.73684210526318</v>
      </c>
      <c r="AT28" s="39"/>
      <c r="AU28" s="1">
        <f t="shared" si="30"/>
        <v>0</v>
      </c>
      <c r="AV28" s="5">
        <f t="shared" si="1"/>
        <v>32890.640021598272</v>
      </c>
      <c r="AW28" s="9">
        <f t="shared" si="31"/>
        <v>336788.721987041</v>
      </c>
      <c r="AX28" s="3">
        <f t="shared" si="2"/>
        <v>1873.4496999999999</v>
      </c>
      <c r="AY28" s="3">
        <f t="shared" si="32"/>
        <v>27093.174799999997</v>
      </c>
      <c r="AZ28" s="3">
        <f t="shared" si="33"/>
        <v>28005.370389048327</v>
      </c>
      <c r="BA28" s="3">
        <f t="shared" si="34"/>
        <v>34100.182466692953</v>
      </c>
      <c r="BB28" s="10">
        <f t="shared" si="15"/>
        <v>62105.552855741276</v>
      </c>
      <c r="BC28" s="14">
        <f t="shared" si="35"/>
        <v>19.873776913837208</v>
      </c>
      <c r="BD28" s="2">
        <f t="shared" si="16"/>
        <v>0.77201914980387354</v>
      </c>
      <c r="BE28" s="6">
        <f t="shared" si="17"/>
        <v>8.2054996744940905</v>
      </c>
      <c r="BF28" s="15">
        <f t="shared" si="36"/>
        <v>0.34100182466692952</v>
      </c>
      <c r="BM28" s="85"/>
    </row>
    <row r="29" spans="1:65" x14ac:dyDescent="0.2">
      <c r="A29" s="18" t="s">
        <v>11</v>
      </c>
      <c r="B29" s="1"/>
      <c r="C29" s="17"/>
      <c r="D29" s="131">
        <v>30</v>
      </c>
      <c r="E29" s="135">
        <v>320700</v>
      </c>
      <c r="F29" s="136">
        <v>790.5</v>
      </c>
      <c r="G29" s="136"/>
      <c r="H29" s="140">
        <v>30074.25</v>
      </c>
      <c r="I29" s="11">
        <v>0</v>
      </c>
      <c r="J29" s="11">
        <v>76</v>
      </c>
      <c r="K29" s="24">
        <f t="shared" si="18"/>
        <v>3657300</v>
      </c>
      <c r="L29" s="24">
        <f t="shared" si="19"/>
        <v>3125</v>
      </c>
      <c r="M29" s="16">
        <f t="shared" si="3"/>
        <v>1094.5491</v>
      </c>
      <c r="N29" s="16">
        <f t="shared" si="20"/>
        <v>12482.364899999999</v>
      </c>
      <c r="O29" s="16">
        <f t="shared" si="4"/>
        <v>10690</v>
      </c>
      <c r="P29" s="16">
        <f t="shared" si="21"/>
        <v>10013.623470522803</v>
      </c>
      <c r="Q29" s="27">
        <f t="shared" si="37"/>
        <v>0.31975308641975309</v>
      </c>
      <c r="R29" s="27"/>
      <c r="S29" s="86">
        <f t="shared" si="14"/>
        <v>811.92499999999984</v>
      </c>
      <c r="T29" s="27">
        <f t="shared" si="38"/>
        <v>-2.4435394298407943E-2</v>
      </c>
      <c r="U29" s="27"/>
      <c r="V29" s="25">
        <f t="shared" si="5"/>
        <v>0.56346194391735194</v>
      </c>
      <c r="W29" s="134" t="str">
        <f t="shared" si="6"/>
        <v/>
      </c>
      <c r="X29" s="26">
        <f t="shared" si="7"/>
        <v>9.3776894293732455E-2</v>
      </c>
      <c r="Y29" s="33">
        <f t="shared" si="22"/>
        <v>276381.24</v>
      </c>
      <c r="Z29" s="29">
        <f t="shared" si="23"/>
        <v>7.5569748174883114E-2</v>
      </c>
      <c r="AA29" s="17"/>
      <c r="AB29" s="39">
        <v>30</v>
      </c>
      <c r="AC29" s="131">
        <v>5720</v>
      </c>
      <c r="AD29" s="129">
        <v>2684.2242764578832</v>
      </c>
      <c r="AE29" s="131">
        <f t="shared" si="8"/>
        <v>0</v>
      </c>
      <c r="AF29" s="131">
        <f t="shared" si="9"/>
        <v>76</v>
      </c>
      <c r="AG29" s="3">
        <f t="shared" si="24"/>
        <v>154480</v>
      </c>
      <c r="AH29" s="3">
        <f t="shared" si="10"/>
        <v>572</v>
      </c>
      <c r="AI29" s="3">
        <f t="shared" si="25"/>
        <v>15448</v>
      </c>
      <c r="AJ29" s="37">
        <f t="shared" si="11"/>
        <v>190.66666666666666</v>
      </c>
      <c r="AK29" s="37">
        <f t="shared" si="26"/>
        <v>366</v>
      </c>
      <c r="AL29" s="16">
        <f t="shared" si="27"/>
        <v>422.07650273224044</v>
      </c>
      <c r="AM29" s="27" t="e">
        <f t="shared" si="39"/>
        <v>#DIV/0!</v>
      </c>
      <c r="AN29" s="27"/>
      <c r="AO29" s="41">
        <f t="shared" si="12"/>
        <v>0.46926997840172785</v>
      </c>
      <c r="AP29" s="5">
        <f t="shared" si="40"/>
        <v>72492.826263498922</v>
      </c>
      <c r="AQ29" s="4">
        <f t="shared" si="28"/>
        <v>0.46926997840172785</v>
      </c>
      <c r="AR29">
        <f t="shared" si="29"/>
        <v>3125</v>
      </c>
      <c r="AS29" s="6" t="e">
        <f t="shared" si="13"/>
        <v>#DIV/0!</v>
      </c>
      <c r="AT29" s="39"/>
      <c r="AU29" s="1">
        <f t="shared" si="30"/>
        <v>0</v>
      </c>
      <c r="AV29" s="5">
        <f t="shared" si="1"/>
        <v>32758.474276457884</v>
      </c>
      <c r="AW29" s="9">
        <f t="shared" si="31"/>
        <v>348874.06626349885</v>
      </c>
      <c r="AX29" s="3">
        <f t="shared" si="2"/>
        <v>1666.5491</v>
      </c>
      <c r="AY29" s="3">
        <f t="shared" si="32"/>
        <v>27930.364899999997</v>
      </c>
      <c r="AZ29" s="3">
        <f t="shared" si="33"/>
        <v>28613.264365813622</v>
      </c>
      <c r="BA29" s="3">
        <f t="shared" si="34"/>
        <v>35411.375285390743</v>
      </c>
      <c r="BB29" s="10">
        <f t="shared" si="15"/>
        <v>64024.639651204365</v>
      </c>
      <c r="BC29" s="14">
        <f t="shared" si="35"/>
        <v>20.487884688385396</v>
      </c>
      <c r="BD29" s="2">
        <f t="shared" si="16"/>
        <v>0.79972232572482105</v>
      </c>
      <c r="BE29" s="6">
        <f t="shared" si="17"/>
        <v>8.3836110066843332</v>
      </c>
      <c r="BF29" s="15">
        <f t="shared" si="36"/>
        <v>0.35411375285390745</v>
      </c>
      <c r="BM29" s="85"/>
    </row>
    <row r="30" spans="1:65" x14ac:dyDescent="0.2">
      <c r="A30" s="18" t="s">
        <v>12</v>
      </c>
      <c r="B30" s="1"/>
      <c r="C30" s="17"/>
      <c r="D30" s="131">
        <v>31</v>
      </c>
      <c r="E30" s="135">
        <v>389700</v>
      </c>
      <c r="F30" s="136">
        <v>1005.3</v>
      </c>
      <c r="G30" s="136"/>
      <c r="H30" s="140">
        <v>36949.760000000002</v>
      </c>
      <c r="I30" s="11">
        <v>0</v>
      </c>
      <c r="J30" s="11">
        <v>80</v>
      </c>
      <c r="K30" s="24">
        <f t="shared" si="18"/>
        <v>3796200</v>
      </c>
      <c r="L30" s="24">
        <f t="shared" si="19"/>
        <v>3125</v>
      </c>
      <c r="M30" s="16">
        <f t="shared" si="3"/>
        <v>1330.0461</v>
      </c>
      <c r="N30" s="16">
        <f t="shared" si="20"/>
        <v>12956.4306</v>
      </c>
      <c r="O30" s="16">
        <f t="shared" si="4"/>
        <v>12570.967741935483</v>
      </c>
      <c r="P30" s="16">
        <f t="shared" si="21"/>
        <v>10387.010567296997</v>
      </c>
      <c r="Q30" s="27">
        <f t="shared" si="37"/>
        <v>0.55382775119617222</v>
      </c>
      <c r="R30" s="27"/>
      <c r="S30" s="86">
        <f t="shared" si="14"/>
        <v>843.34999999999991</v>
      </c>
      <c r="T30" s="27">
        <f t="shared" si="38"/>
        <v>0.6002865329512892</v>
      </c>
      <c r="U30" s="27"/>
      <c r="V30" s="25">
        <f t="shared" si="5"/>
        <v>0.52102886957191408</v>
      </c>
      <c r="W30" s="134" t="str">
        <f t="shared" si="6"/>
        <v/>
      </c>
      <c r="X30" s="26">
        <f t="shared" si="7"/>
        <v>9.4815909674108287E-2</v>
      </c>
      <c r="Y30" s="33">
        <f t="shared" si="22"/>
        <v>293473.65999999997</v>
      </c>
      <c r="Z30" s="29">
        <f t="shared" si="23"/>
        <v>7.7307217744059839E-2</v>
      </c>
      <c r="AA30" s="17"/>
      <c r="AB30" s="39">
        <v>31</v>
      </c>
      <c r="AC30" s="131">
        <v>5270</v>
      </c>
      <c r="AD30" s="129">
        <v>2473.0527861771056</v>
      </c>
      <c r="AE30" s="131">
        <f t="shared" si="8"/>
        <v>0</v>
      </c>
      <c r="AF30" s="131">
        <f t="shared" si="9"/>
        <v>80</v>
      </c>
      <c r="AG30" s="3">
        <f t="shared" si="24"/>
        <v>159750</v>
      </c>
      <c r="AH30" s="3">
        <f t="shared" si="10"/>
        <v>527</v>
      </c>
      <c r="AI30" s="3">
        <f t="shared" si="25"/>
        <v>15975</v>
      </c>
      <c r="AJ30" s="37">
        <f t="shared" si="11"/>
        <v>170</v>
      </c>
      <c r="AK30" s="37">
        <f t="shared" si="26"/>
        <v>366</v>
      </c>
      <c r="AL30" s="16">
        <f t="shared" si="27"/>
        <v>436.47540983606558</v>
      </c>
      <c r="AM30" s="27" t="e">
        <f t="shared" si="39"/>
        <v>#DIV/0!</v>
      </c>
      <c r="AN30" s="27"/>
      <c r="AO30" s="41">
        <f t="shared" si="12"/>
        <v>0.46926997840172785</v>
      </c>
      <c r="AP30" s="5">
        <f t="shared" si="40"/>
        <v>74965.879049676034</v>
      </c>
      <c r="AQ30" s="4">
        <f t="shared" si="28"/>
        <v>0.46926997840172791</v>
      </c>
      <c r="AR30">
        <f t="shared" si="29"/>
        <v>3125</v>
      </c>
      <c r="AS30" s="6" t="e">
        <f t="shared" si="13"/>
        <v>#DIV/0!</v>
      </c>
      <c r="AT30" s="39"/>
      <c r="AU30" s="1">
        <f t="shared" si="30"/>
        <v>0</v>
      </c>
      <c r="AV30" s="5">
        <f t="shared" si="1"/>
        <v>39422.812786177106</v>
      </c>
      <c r="AW30" s="9">
        <f t="shared" si="31"/>
        <v>368439.53904967598</v>
      </c>
      <c r="AX30" s="3">
        <f t="shared" si="2"/>
        <v>1857.0461</v>
      </c>
      <c r="AY30" s="3">
        <f t="shared" si="32"/>
        <v>28931.4306</v>
      </c>
      <c r="AZ30" s="3">
        <f t="shared" si="33"/>
        <v>29699.962864818772</v>
      </c>
      <c r="BA30" s="3">
        <f t="shared" si="34"/>
        <v>36619.414822897277</v>
      </c>
      <c r="BB30" s="10">
        <f t="shared" si="15"/>
        <v>66319.377687716042</v>
      </c>
      <c r="BC30" s="14">
        <f t="shared" si="35"/>
        <v>21.222200860069133</v>
      </c>
      <c r="BD30" s="2">
        <f t="shared" si="16"/>
        <v>0.84457216385709832</v>
      </c>
      <c r="BE30" s="6">
        <f t="shared" si="17"/>
        <v>8.7020108012946888</v>
      </c>
      <c r="BF30" s="15">
        <f t="shared" si="36"/>
        <v>0.36619414822897278</v>
      </c>
    </row>
    <row r="31" spans="1:65" x14ac:dyDescent="0.2">
      <c r="A31" s="18" t="s">
        <v>13</v>
      </c>
      <c r="B31" s="1"/>
      <c r="C31" s="17"/>
      <c r="D31" s="131">
        <v>31</v>
      </c>
      <c r="E31" s="135">
        <v>384300</v>
      </c>
      <c r="F31" s="136">
        <v>1251.5999999999999</v>
      </c>
      <c r="G31" s="136"/>
      <c r="H31" s="140">
        <v>37975.769999999997</v>
      </c>
      <c r="I31" s="11">
        <v>0</v>
      </c>
      <c r="J31" s="11">
        <v>77</v>
      </c>
      <c r="K31" s="24">
        <f t="shared" si="18"/>
        <v>3829200</v>
      </c>
      <c r="L31" s="24">
        <f t="shared" si="19"/>
        <v>3125</v>
      </c>
      <c r="M31" s="16">
        <f t="shared" si="3"/>
        <v>1311.6159</v>
      </c>
      <c r="N31" s="16">
        <f t="shared" si="20"/>
        <v>13069.059599999999</v>
      </c>
      <c r="O31" s="16">
        <f t="shared" si="4"/>
        <v>12396.774193548386</v>
      </c>
      <c r="P31" s="16">
        <f t="shared" si="21"/>
        <v>10475.720244716351</v>
      </c>
      <c r="Q31" s="27">
        <f t="shared" si="37"/>
        <v>9.3936806148590915E-2</v>
      </c>
      <c r="R31" s="27"/>
      <c r="S31" s="86">
        <f t="shared" si="14"/>
        <v>855.59999999999991</v>
      </c>
      <c r="T31" s="27">
        <f t="shared" si="38"/>
        <v>0.13307984790874525</v>
      </c>
      <c r="U31" s="27"/>
      <c r="V31" s="25">
        <f t="shared" si="5"/>
        <v>0.41269755358302668</v>
      </c>
      <c r="W31" s="134" t="str">
        <f t="shared" si="6"/>
        <v/>
      </c>
      <c r="X31" s="26">
        <f t="shared" si="7"/>
        <v>9.8818032786885238E-2</v>
      </c>
      <c r="Y31" s="33">
        <f t="shared" si="22"/>
        <v>301778.97000000003</v>
      </c>
      <c r="Z31" s="29">
        <f t="shared" si="23"/>
        <v>7.8809926355374496E-2</v>
      </c>
      <c r="AA31" s="17"/>
      <c r="AB31" s="39">
        <v>31</v>
      </c>
      <c r="AC31" s="131">
        <v>6710</v>
      </c>
      <c r="AD31" s="129">
        <v>3148.801555075594</v>
      </c>
      <c r="AE31" s="131">
        <f t="shared" si="8"/>
        <v>0</v>
      </c>
      <c r="AF31" s="131">
        <f t="shared" si="9"/>
        <v>77</v>
      </c>
      <c r="AG31" s="3">
        <f t="shared" si="24"/>
        <v>166460</v>
      </c>
      <c r="AH31" s="3">
        <f t="shared" si="10"/>
        <v>671</v>
      </c>
      <c r="AI31" s="3">
        <f t="shared" si="25"/>
        <v>16646</v>
      </c>
      <c r="AJ31" s="37">
        <f t="shared" si="11"/>
        <v>216.45161290322579</v>
      </c>
      <c r="AK31" s="37">
        <f t="shared" si="26"/>
        <v>366</v>
      </c>
      <c r="AL31" s="16">
        <f t="shared" si="27"/>
        <v>454.80874316939889</v>
      </c>
      <c r="AM31" s="27" t="e">
        <f t="shared" si="39"/>
        <v>#DIV/0!</v>
      </c>
      <c r="AN31" s="27"/>
      <c r="AO31" s="41">
        <f t="shared" si="12"/>
        <v>0.46926997840172785</v>
      </c>
      <c r="AP31" s="5">
        <f t="shared" si="40"/>
        <v>78114.680604751629</v>
      </c>
      <c r="AQ31" s="4">
        <f t="shared" si="28"/>
        <v>0.46926997840172791</v>
      </c>
      <c r="AR31">
        <f t="shared" si="29"/>
        <v>3125</v>
      </c>
      <c r="AS31" s="6" t="e">
        <f t="shared" si="13"/>
        <v>#DIV/0!</v>
      </c>
      <c r="AT31" s="39"/>
      <c r="AU31" s="1">
        <f t="shared" si="30"/>
        <v>0</v>
      </c>
      <c r="AV31" s="5">
        <f t="shared" si="1"/>
        <v>41124.571555075592</v>
      </c>
      <c r="AW31" s="9">
        <f t="shared" si="31"/>
        <v>379893.6506047516</v>
      </c>
      <c r="AX31" s="3">
        <f t="shared" si="2"/>
        <v>1982.6159</v>
      </c>
      <c r="AY31" s="3">
        <f t="shared" si="32"/>
        <v>29715.059600000001</v>
      </c>
      <c r="AZ31" s="3">
        <f t="shared" si="33"/>
        <v>29958.141773869665</v>
      </c>
      <c r="BA31" s="3">
        <f t="shared" si="34"/>
        <v>38157.544860215843</v>
      </c>
      <c r="BB31" s="10">
        <f t="shared" si="15"/>
        <v>68115.686634085505</v>
      </c>
      <c r="BC31" s="14">
        <f t="shared" si="35"/>
        <v>21.797019722907361</v>
      </c>
      <c r="BD31" s="2">
        <f t="shared" si="16"/>
        <v>0.87082836808013775</v>
      </c>
      <c r="BE31" s="6">
        <f t="shared" si="17"/>
        <v>8.7776565408349452</v>
      </c>
      <c r="BF31" s="15">
        <f t="shared" si="36"/>
        <v>0.38157544860215842</v>
      </c>
    </row>
    <row r="32" spans="1:65" x14ac:dyDescent="0.2">
      <c r="A32" s="18" t="s">
        <v>14</v>
      </c>
      <c r="B32" s="1"/>
      <c r="C32" s="17"/>
      <c r="D32" s="131">
        <v>30</v>
      </c>
      <c r="E32" s="135">
        <v>407700</v>
      </c>
      <c r="F32" s="136">
        <v>1193.0999999999999</v>
      </c>
      <c r="G32" s="136"/>
      <c r="H32" s="140">
        <v>39446.46</v>
      </c>
      <c r="I32" s="11">
        <v>0</v>
      </c>
      <c r="J32" s="11">
        <v>69</v>
      </c>
      <c r="K32" s="24">
        <f t="shared" si="18"/>
        <v>3869400</v>
      </c>
      <c r="L32" s="24">
        <f t="shared" si="19"/>
        <v>3125</v>
      </c>
      <c r="M32" s="16">
        <f t="shared" si="3"/>
        <v>1391.4801</v>
      </c>
      <c r="N32" s="16">
        <f t="shared" si="20"/>
        <v>13206.262199999999</v>
      </c>
      <c r="O32" s="16">
        <f t="shared" si="4"/>
        <v>13590</v>
      </c>
      <c r="P32" s="16">
        <f t="shared" si="21"/>
        <v>10587.386911383017</v>
      </c>
      <c r="Q32" s="27">
        <f t="shared" si="37"/>
        <v>0.10938775510204081</v>
      </c>
      <c r="R32" s="27"/>
      <c r="S32" s="86">
        <f t="shared" si="14"/>
        <v>882.375</v>
      </c>
      <c r="T32" s="27">
        <f t="shared" si="38"/>
        <v>0.36854783207157604</v>
      </c>
      <c r="U32" s="27"/>
      <c r="V32" s="25">
        <f t="shared" si="5"/>
        <v>0.47460397284385214</v>
      </c>
      <c r="W32" s="134" t="str">
        <f t="shared" si="6"/>
        <v/>
      </c>
      <c r="X32" s="26">
        <f t="shared" si="7"/>
        <v>9.6753642384105956E-2</v>
      </c>
      <c r="Y32" s="33">
        <f t="shared" si="22"/>
        <v>313594.69000000006</v>
      </c>
      <c r="Z32" s="29">
        <f t="shared" si="23"/>
        <v>8.1044784721145416E-2</v>
      </c>
      <c r="AA32" s="17"/>
      <c r="AB32" s="39">
        <v>30</v>
      </c>
      <c r="AC32" s="131">
        <v>7030</v>
      </c>
      <c r="AD32" s="129">
        <v>3298.9679481641469</v>
      </c>
      <c r="AE32" s="131">
        <f t="shared" si="8"/>
        <v>0</v>
      </c>
      <c r="AF32" s="131">
        <f t="shared" si="9"/>
        <v>69</v>
      </c>
      <c r="AG32" s="3">
        <f t="shared" si="24"/>
        <v>173490</v>
      </c>
      <c r="AH32" s="3">
        <f t="shared" si="10"/>
        <v>703</v>
      </c>
      <c r="AI32" s="3">
        <f t="shared" si="25"/>
        <v>17349</v>
      </c>
      <c r="AJ32" s="37">
        <f t="shared" si="11"/>
        <v>234.33333333333334</v>
      </c>
      <c r="AK32" s="37">
        <f t="shared" si="26"/>
        <v>366</v>
      </c>
      <c r="AL32" s="16">
        <f t="shared" si="27"/>
        <v>474.01639344262293</v>
      </c>
      <c r="AM32" s="27" t="e">
        <f t="shared" si="39"/>
        <v>#DIV/0!</v>
      </c>
      <c r="AN32" s="27"/>
      <c r="AO32" s="41">
        <f t="shared" si="12"/>
        <v>0.46926997840172785</v>
      </c>
      <c r="AP32" s="5">
        <f t="shared" si="40"/>
        <v>81413.64855291578</v>
      </c>
      <c r="AQ32" s="4">
        <f t="shared" si="28"/>
        <v>0.46926997840172796</v>
      </c>
      <c r="AR32">
        <f t="shared" si="29"/>
        <v>3125</v>
      </c>
      <c r="AS32" s="6" t="e">
        <f t="shared" si="13"/>
        <v>#DIV/0!</v>
      </c>
      <c r="AT32" s="39"/>
      <c r="AU32" s="1">
        <f t="shared" si="30"/>
        <v>0</v>
      </c>
      <c r="AV32" s="5">
        <f t="shared" si="1"/>
        <v>42745.427948164142</v>
      </c>
      <c r="AW32" s="9">
        <f t="shared" si="31"/>
        <v>395008.33855291572</v>
      </c>
      <c r="AX32" s="3">
        <f t="shared" si="2"/>
        <v>2094.4800999999998</v>
      </c>
      <c r="AY32" s="3">
        <f t="shared" si="32"/>
        <v>30555.262200000001</v>
      </c>
      <c r="AZ32" s="3">
        <f t="shared" si="33"/>
        <v>30272.65062671349</v>
      </c>
      <c r="BA32" s="3">
        <f t="shared" si="34"/>
        <v>39769.028341937083</v>
      </c>
      <c r="BB32" s="10">
        <f t="shared" si="15"/>
        <v>70041.678968650565</v>
      </c>
      <c r="BC32" s="14">
        <f t="shared" si="35"/>
        <v>22.413337269968181</v>
      </c>
      <c r="BD32" s="2">
        <f t="shared" si="16"/>
        <v>0.90547569376980708</v>
      </c>
      <c r="BE32" s="6">
        <f t="shared" si="17"/>
        <v>8.8698068053658048</v>
      </c>
      <c r="BF32" s="15">
        <f t="shared" si="36"/>
        <v>0.39769028341937079</v>
      </c>
    </row>
    <row r="33" spans="1:79" x14ac:dyDescent="0.2">
      <c r="A33" s="18" t="s">
        <v>15</v>
      </c>
      <c r="B33" s="1"/>
      <c r="C33" s="17"/>
      <c r="D33" s="131">
        <v>31</v>
      </c>
      <c r="E33" s="135">
        <v>322200</v>
      </c>
      <c r="F33" s="136">
        <v>941.1</v>
      </c>
      <c r="G33" s="136"/>
      <c r="H33" s="140">
        <v>28312.77</v>
      </c>
      <c r="I33" s="11">
        <v>111</v>
      </c>
      <c r="J33" s="11">
        <v>58</v>
      </c>
      <c r="K33" s="24">
        <f t="shared" si="18"/>
        <v>3916200</v>
      </c>
      <c r="L33" s="24">
        <f t="shared" si="19"/>
        <v>3159</v>
      </c>
      <c r="M33" s="16">
        <f t="shared" si="3"/>
        <v>1099.6686</v>
      </c>
      <c r="N33" s="16">
        <f t="shared" si="20"/>
        <v>13365.990600000001</v>
      </c>
      <c r="O33" s="16">
        <f t="shared" si="4"/>
        <v>10393.548387096775</v>
      </c>
      <c r="P33" s="16">
        <f t="shared" si="21"/>
        <v>10713.19336299592</v>
      </c>
      <c r="Q33" s="27">
        <f t="shared" si="37"/>
        <v>0.16993464052287585</v>
      </c>
      <c r="R33" s="27"/>
      <c r="S33" s="86">
        <f t="shared" si="14"/>
        <v>897.22500000000002</v>
      </c>
      <c r="T33" s="27">
        <f t="shared" si="38"/>
        <v>0.23358238301219039</v>
      </c>
      <c r="U33" s="27"/>
      <c r="V33" s="25">
        <f t="shared" si="5"/>
        <v>0.4601684370726089</v>
      </c>
      <c r="W33" s="134" t="str">
        <f t="shared" si="6"/>
        <v/>
      </c>
      <c r="X33" s="26">
        <f t="shared" si="7"/>
        <v>8.7873277467411554E-2</v>
      </c>
      <c r="Y33" s="33">
        <f t="shared" si="22"/>
        <v>323652.76</v>
      </c>
      <c r="Z33" s="29">
        <f t="shared" si="23"/>
        <v>8.2644594249527609E-2</v>
      </c>
      <c r="AA33" s="17"/>
      <c r="AB33" s="39">
        <v>31</v>
      </c>
      <c r="AC33" s="131">
        <v>13230</v>
      </c>
      <c r="AD33" s="129">
        <v>6208.4418142548593</v>
      </c>
      <c r="AE33" s="131">
        <f t="shared" si="8"/>
        <v>111</v>
      </c>
      <c r="AF33" s="131">
        <f t="shared" si="9"/>
        <v>58</v>
      </c>
      <c r="AG33" s="3">
        <f t="shared" si="24"/>
        <v>184090</v>
      </c>
      <c r="AH33" s="3">
        <f t="shared" si="10"/>
        <v>1323</v>
      </c>
      <c r="AI33" s="3">
        <f t="shared" si="25"/>
        <v>18409</v>
      </c>
      <c r="AJ33" s="37">
        <f t="shared" si="11"/>
        <v>426.77419354838707</v>
      </c>
      <c r="AK33" s="37">
        <f t="shared" si="26"/>
        <v>366</v>
      </c>
      <c r="AL33" s="16">
        <f t="shared" si="27"/>
        <v>502.97814207650271</v>
      </c>
      <c r="AM33" s="27">
        <f t="shared" si="39"/>
        <v>4.0304182509505697</v>
      </c>
      <c r="AN33" s="27"/>
      <c r="AO33" s="41">
        <f t="shared" si="12"/>
        <v>0.46926997840172785</v>
      </c>
      <c r="AP33" s="5">
        <f t="shared" si="40"/>
        <v>86387.910323974094</v>
      </c>
      <c r="AQ33" s="4">
        <f t="shared" si="28"/>
        <v>0.46926997840172791</v>
      </c>
      <c r="AR33">
        <f t="shared" si="29"/>
        <v>3159</v>
      </c>
      <c r="AS33" s="6">
        <f t="shared" si="13"/>
        <v>119.18918918918919</v>
      </c>
      <c r="AT33" s="39"/>
      <c r="AU33" s="1">
        <f t="shared" si="30"/>
        <v>0</v>
      </c>
      <c r="AV33" s="5">
        <f t="shared" si="1"/>
        <v>34521.211814254857</v>
      </c>
      <c r="AW33" s="9">
        <f t="shared" si="31"/>
        <v>410040.6703239741</v>
      </c>
      <c r="AX33" s="3">
        <f t="shared" si="2"/>
        <v>2422.6686</v>
      </c>
      <c r="AY33" s="3">
        <f t="shared" si="32"/>
        <v>31774.990600000001</v>
      </c>
      <c r="AZ33" s="3">
        <f t="shared" si="33"/>
        <v>30638.795261367497</v>
      </c>
      <c r="BA33" s="3">
        <f t="shared" si="34"/>
        <v>42198.861187775648</v>
      </c>
      <c r="BB33" s="10">
        <f t="shared" si="15"/>
        <v>72837.656449143135</v>
      </c>
      <c r="BC33" s="14">
        <f t="shared" si="35"/>
        <v>23.057187859811059</v>
      </c>
      <c r="BD33" s="2">
        <f t="shared" si="16"/>
        <v>0.93993423479514704</v>
      </c>
      <c r="BE33" s="6">
        <f t="shared" si="17"/>
        <v>8.9770862178047146</v>
      </c>
      <c r="BF33" s="15">
        <f t="shared" si="36"/>
        <v>0.42198861187775649</v>
      </c>
    </row>
    <row r="34" spans="1:79" x14ac:dyDescent="0.2">
      <c r="A34" s="18" t="s">
        <v>16</v>
      </c>
      <c r="B34" s="1"/>
      <c r="C34" s="17">
        <v>39778</v>
      </c>
      <c r="D34" s="131">
        <f t="shared" ref="D34" si="41">C35-C34</f>
        <v>35</v>
      </c>
      <c r="E34" s="135">
        <v>311400</v>
      </c>
      <c r="F34" s="136">
        <v>959.7</v>
      </c>
      <c r="G34" s="136"/>
      <c r="H34" s="140">
        <v>21796.15</v>
      </c>
      <c r="I34" s="11">
        <v>387</v>
      </c>
      <c r="J34" s="11">
        <v>47</v>
      </c>
      <c r="K34" s="24">
        <f t="shared" si="18"/>
        <v>3923400</v>
      </c>
      <c r="L34" s="24">
        <f t="shared" si="19"/>
        <v>3197</v>
      </c>
      <c r="M34" s="16">
        <f t="shared" si="3"/>
        <v>1062.8081999999999</v>
      </c>
      <c r="N34" s="16">
        <f t="shared" si="20"/>
        <v>13390.564200000001</v>
      </c>
      <c r="O34" s="16">
        <f t="shared" si="4"/>
        <v>8897.1428571428569</v>
      </c>
      <c r="P34" s="16">
        <f t="shared" si="21"/>
        <v>10609.621934424491</v>
      </c>
      <c r="Q34" s="27">
        <f t="shared" si="37"/>
        <v>-0.12256973795435336</v>
      </c>
      <c r="R34" s="27"/>
      <c r="S34" s="86">
        <f>IF(ISBLANK(F34),"",AVERAGE(F23:F34))</f>
        <v>913.32500000000016</v>
      </c>
      <c r="T34" s="27">
        <f t="shared" si="38"/>
        <v>0.25205479452054802</v>
      </c>
      <c r="U34" s="27"/>
      <c r="V34" s="25">
        <f t="shared" si="5"/>
        <v>0.38628142723172421</v>
      </c>
      <c r="W34" s="134" t="str">
        <f t="shared" si="6"/>
        <v/>
      </c>
      <c r="X34" s="26">
        <f t="shared" si="7"/>
        <v>6.9994059087989724E-2</v>
      </c>
      <c r="Y34" s="33">
        <f t="shared" si="22"/>
        <v>325036.88000000006</v>
      </c>
      <c r="Z34" s="29">
        <f t="shared" si="23"/>
        <v>8.2845715450884455E-2</v>
      </c>
      <c r="AA34" s="17"/>
      <c r="AB34" s="39">
        <v>30</v>
      </c>
      <c r="AC34" s="131">
        <v>24120</v>
      </c>
      <c r="AD34" s="129">
        <v>11318.791879049675</v>
      </c>
      <c r="AE34" s="131">
        <f t="shared" si="8"/>
        <v>387</v>
      </c>
      <c r="AF34" s="131">
        <f t="shared" si="9"/>
        <v>47</v>
      </c>
      <c r="AG34" s="3">
        <f t="shared" si="24"/>
        <v>193960</v>
      </c>
      <c r="AH34" s="3">
        <f t="shared" si="10"/>
        <v>2412</v>
      </c>
      <c r="AI34" s="3">
        <f t="shared" si="25"/>
        <v>19396</v>
      </c>
      <c r="AJ34" s="37">
        <f t="shared" si="11"/>
        <v>804</v>
      </c>
      <c r="AK34" s="37">
        <f t="shared" si="26"/>
        <v>366</v>
      </c>
      <c r="AL34" s="16">
        <f t="shared" si="27"/>
        <v>529.94535519125679</v>
      </c>
      <c r="AM34" s="27">
        <f t="shared" si="39"/>
        <v>0.69263157894736838</v>
      </c>
      <c r="AN34" s="27"/>
      <c r="AO34" s="41">
        <f t="shared" si="12"/>
        <v>0.46926997840172785</v>
      </c>
      <c r="AP34" s="5">
        <f t="shared" si="40"/>
        <v>91019.605010799132</v>
      </c>
      <c r="AQ34" s="4">
        <f t="shared" si="28"/>
        <v>0.46926997840172785</v>
      </c>
      <c r="AR34">
        <f t="shared" si="29"/>
        <v>3197</v>
      </c>
      <c r="AS34" s="6">
        <f t="shared" si="13"/>
        <v>62.325581395348834</v>
      </c>
      <c r="AT34" s="39"/>
      <c r="AU34" s="1">
        <f t="shared" si="30"/>
        <v>0</v>
      </c>
      <c r="AV34" s="5">
        <f t="shared" si="1"/>
        <v>33114.941879049678</v>
      </c>
      <c r="AW34" s="9">
        <f t="shared" si="31"/>
        <v>416056.4850107992</v>
      </c>
      <c r="AX34" s="3">
        <f t="shared" si="2"/>
        <v>3474.8081999999999</v>
      </c>
      <c r="AY34" s="3">
        <f t="shared" si="32"/>
        <v>32786.564200000001</v>
      </c>
      <c r="AZ34" s="3">
        <f t="shared" si="33"/>
        <v>30695.125205160413</v>
      </c>
      <c r="BA34" s="3">
        <f t="shared" si="34"/>
        <v>44461.356488570615</v>
      </c>
      <c r="BB34" s="10">
        <f t="shared" si="15"/>
        <v>75156.481693731024</v>
      </c>
      <c r="BC34" s="14">
        <f t="shared" si="35"/>
        <v>23.508439691501728</v>
      </c>
      <c r="BD34" s="2">
        <f t="shared" si="16"/>
        <v>0.95372425755035983</v>
      </c>
      <c r="BE34" s="6">
        <f t="shared" si="17"/>
        <v>8.9935907427953161</v>
      </c>
      <c r="BF34" s="15">
        <f t="shared" si="36"/>
        <v>0.44461356488570619</v>
      </c>
      <c r="BI34" s="37">
        <v>2006</v>
      </c>
      <c r="BJ34" s="37">
        <v>2007</v>
      </c>
      <c r="BK34" s="37">
        <v>2008</v>
      </c>
      <c r="BL34" s="37">
        <v>2009</v>
      </c>
      <c r="BM34" s="37">
        <v>2010</v>
      </c>
      <c r="BN34" s="37">
        <v>2011</v>
      </c>
      <c r="BO34" s="37">
        <v>2012</v>
      </c>
      <c r="BP34" s="37">
        <v>2013</v>
      </c>
      <c r="BQ34" s="102">
        <v>2014</v>
      </c>
      <c r="BR34" s="37">
        <v>2015</v>
      </c>
      <c r="BS34" s="37">
        <v>2016</v>
      </c>
      <c r="BT34" s="37">
        <v>2017</v>
      </c>
      <c r="BU34" s="37">
        <v>2018</v>
      </c>
      <c r="BV34" s="37">
        <v>2019</v>
      </c>
      <c r="BW34" s="37">
        <v>2020</v>
      </c>
      <c r="BX34" s="37">
        <v>2021</v>
      </c>
      <c r="BY34" s="37">
        <v>2022</v>
      </c>
      <c r="BZ34" s="102">
        <v>2023</v>
      </c>
      <c r="CA34" s="37">
        <v>2024</v>
      </c>
    </row>
    <row r="35" spans="1:79" x14ac:dyDescent="0.2">
      <c r="A35" s="18" t="s">
        <v>17</v>
      </c>
      <c r="B35" s="1"/>
      <c r="C35" s="17">
        <v>39813</v>
      </c>
      <c r="D35" s="131">
        <v>25</v>
      </c>
      <c r="E35" s="135">
        <v>348300</v>
      </c>
      <c r="F35" s="136">
        <v>765.9</v>
      </c>
      <c r="G35" s="136"/>
      <c r="H35" s="140">
        <v>23371.3</v>
      </c>
      <c r="I35" s="11">
        <v>713</v>
      </c>
      <c r="J35" s="11">
        <v>37</v>
      </c>
      <c r="K35" s="24">
        <f t="shared" si="18"/>
        <v>3975300</v>
      </c>
      <c r="L35" s="24">
        <f t="shared" si="19"/>
        <v>3165</v>
      </c>
      <c r="M35" s="16">
        <f t="shared" si="3"/>
        <v>1188.7478999999998</v>
      </c>
      <c r="N35" s="16">
        <f t="shared" si="20"/>
        <v>13567.698900000001</v>
      </c>
      <c r="O35" s="16">
        <f t="shared" si="4"/>
        <v>13932</v>
      </c>
      <c r="P35" s="16">
        <f t="shared" si="21"/>
        <v>10973.847740876105</v>
      </c>
      <c r="Q35" s="27">
        <f t="shared" si="37"/>
        <v>0.45712550607287439</v>
      </c>
      <c r="R35" s="27">
        <f>IF(ISBLANK(E35),"",-(P23-P35)/P23)</f>
        <v>0.23431586032957588</v>
      </c>
      <c r="S35" s="86">
        <f t="shared" ref="S35:S84" si="42">IF(ISBLANK(F35),"",AVERAGE(F24:F35))</f>
        <v>918.55000000000007</v>
      </c>
      <c r="T35" s="27">
        <f t="shared" si="38"/>
        <v>8.9163822525597167E-2</v>
      </c>
      <c r="U35" s="27">
        <f>IF(ISBLANK(F35),"",-(S23-S35)/S23)</f>
        <v>0.23043434580221706</v>
      </c>
      <c r="V35" s="25">
        <f t="shared" si="5"/>
        <v>0.75793184488836662</v>
      </c>
      <c r="W35" s="134" t="str">
        <f t="shared" si="6"/>
        <v/>
      </c>
      <c r="X35" s="26">
        <f t="shared" si="7"/>
        <v>6.7101062302612688E-2</v>
      </c>
      <c r="Y35" s="33">
        <f t="shared" si="22"/>
        <v>328660.60000000003</v>
      </c>
      <c r="Z35" s="29">
        <f t="shared" si="23"/>
        <v>8.2675672276306206E-2</v>
      </c>
      <c r="AA35" s="17"/>
      <c r="AB35" s="39">
        <v>25</v>
      </c>
      <c r="AC35" s="131">
        <v>34030</v>
      </c>
      <c r="AD35" s="129">
        <v>15969.257365010799</v>
      </c>
      <c r="AE35" s="131">
        <f t="shared" si="8"/>
        <v>713</v>
      </c>
      <c r="AF35" s="131">
        <f t="shared" si="9"/>
        <v>37</v>
      </c>
      <c r="AG35" s="3">
        <f t="shared" si="24"/>
        <v>199640</v>
      </c>
      <c r="AH35" s="3">
        <f t="shared" si="10"/>
        <v>3403</v>
      </c>
      <c r="AI35" s="3">
        <f t="shared" si="25"/>
        <v>19964</v>
      </c>
      <c r="AJ35" s="37">
        <f t="shared" si="11"/>
        <v>1361.2</v>
      </c>
      <c r="AK35" s="37">
        <f t="shared" si="26"/>
        <v>360</v>
      </c>
      <c r="AL35" s="16">
        <f t="shared" si="27"/>
        <v>554.55555555555554</v>
      </c>
      <c r="AM35" s="27">
        <f t="shared" si="39"/>
        <v>0.48843738977072315</v>
      </c>
      <c r="AN35" s="27">
        <f>IF(ISBLANK(AC35),"",-(AL23-AL35)/AL23)</f>
        <v>3.4751885425111158</v>
      </c>
      <c r="AO35" s="41">
        <f t="shared" si="12"/>
        <v>0.46926997840172785</v>
      </c>
      <c r="AP35" s="5">
        <f t="shared" si="40"/>
        <v>93685.058488120936</v>
      </c>
      <c r="AQ35" s="4">
        <f t="shared" si="28"/>
        <v>0.46926997840172779</v>
      </c>
      <c r="AR35">
        <f t="shared" si="29"/>
        <v>3165</v>
      </c>
      <c r="AS35" s="6">
        <f t="shared" si="13"/>
        <v>47.727910238429175</v>
      </c>
      <c r="AT35" s="39"/>
      <c r="AU35" s="1">
        <f t="shared" si="30"/>
        <v>0</v>
      </c>
      <c r="AV35" s="5">
        <f t="shared" si="1"/>
        <v>39340.557365010798</v>
      </c>
      <c r="AW35" s="9">
        <f t="shared" si="31"/>
        <v>422345.658488121</v>
      </c>
      <c r="AX35" s="3">
        <f t="shared" si="2"/>
        <v>4591.7479000000003</v>
      </c>
      <c r="AY35" s="3">
        <f t="shared" si="32"/>
        <v>33531.698899999996</v>
      </c>
      <c r="AZ35" s="3">
        <f t="shared" si="33"/>
        <v>31101.170216667742</v>
      </c>
      <c r="BA35" s="3">
        <f t="shared" si="34"/>
        <v>45763.380126718075</v>
      </c>
      <c r="BB35" s="10">
        <f t="shared" si="15"/>
        <v>76864.550343385796</v>
      </c>
      <c r="BC35" s="14">
        <f t="shared" si="35"/>
        <v>24.285797896804358</v>
      </c>
      <c r="BD35" s="2">
        <f t="shared" si="16"/>
        <v>0.96814089933184411</v>
      </c>
      <c r="BE35" s="6">
        <f t="shared" si="17"/>
        <v>9.1125608604359023</v>
      </c>
      <c r="BF35" s="15">
        <f t="shared" si="36"/>
        <v>0.45763380126718073</v>
      </c>
      <c r="BI35" s="125" t="s">
        <v>170</v>
      </c>
      <c r="BJ35" s="125" t="s">
        <v>171</v>
      </c>
      <c r="BK35" s="125" t="s">
        <v>172</v>
      </c>
      <c r="BL35" s="125" t="s">
        <v>173</v>
      </c>
      <c r="BM35" s="125" t="s">
        <v>105</v>
      </c>
      <c r="BN35" s="125" t="s">
        <v>106</v>
      </c>
      <c r="BO35" s="125" t="s">
        <v>107</v>
      </c>
      <c r="BP35" s="125" t="s">
        <v>108</v>
      </c>
      <c r="BQ35" s="125" t="s">
        <v>109</v>
      </c>
      <c r="BR35" s="125" t="s">
        <v>110</v>
      </c>
      <c r="BS35" s="125" t="s">
        <v>116</v>
      </c>
      <c r="BT35" s="125" t="s">
        <v>117</v>
      </c>
      <c r="BU35" s="125" t="s">
        <v>118</v>
      </c>
      <c r="BV35" s="125" t="s">
        <v>119</v>
      </c>
      <c r="BW35" s="125" t="s">
        <v>120</v>
      </c>
      <c r="BX35" s="125" t="s">
        <v>121</v>
      </c>
      <c r="BY35" s="125" t="s">
        <v>122</v>
      </c>
      <c r="BZ35" s="125" t="s">
        <v>123</v>
      </c>
      <c r="CA35" s="125" t="s">
        <v>124</v>
      </c>
    </row>
    <row r="36" spans="1:79" s="18" customFormat="1" x14ac:dyDescent="0.2">
      <c r="A36" s="21" t="str">
        <f>IF(B36=2006,$BI$35,IF(B36=2007,$BJ$35,IF(B36=2008,$BK$35,IF(B36=2009,$BL$35,IF(B36=2010,$BM$35,IF(B36=2011,$BN$35,IF(B36=2012,$BO$35,"")))))))</f>
        <v>JAN 9</v>
      </c>
      <c r="B36" s="37">
        <f>B24+1</f>
        <v>2009</v>
      </c>
      <c r="C36" s="17"/>
      <c r="D36" s="131">
        <v>31</v>
      </c>
      <c r="E36" s="135">
        <v>298800</v>
      </c>
      <c r="F36" s="136">
        <v>770.1</v>
      </c>
      <c r="G36" s="136"/>
      <c r="H36" s="140">
        <v>20223.57</v>
      </c>
      <c r="I36" s="11">
        <v>808</v>
      </c>
      <c r="J36" s="11">
        <v>33</v>
      </c>
      <c r="K36" s="24">
        <f t="shared" si="18"/>
        <v>4021500</v>
      </c>
      <c r="L36" s="24">
        <f t="shared" si="19"/>
        <v>3211</v>
      </c>
      <c r="M36" s="16">
        <f t="shared" si="3"/>
        <v>1019.8044</v>
      </c>
      <c r="N36" s="16">
        <f t="shared" si="20"/>
        <v>13725.379499999999</v>
      </c>
      <c r="O36" s="16">
        <f t="shared" si="4"/>
        <v>9638.7096774193542</v>
      </c>
      <c r="P36" s="16">
        <f t="shared" si="21"/>
        <v>11098.041289263203</v>
      </c>
      <c r="Q36" s="27">
        <f t="shared" si="37"/>
        <v>0.18289786223277907</v>
      </c>
      <c r="R36" s="27">
        <f t="shared" ref="R36:R84" si="43">IF(ISBLANK(E36),"",-(P24-P36)/P24)</f>
        <v>0.2252783820354308</v>
      </c>
      <c r="S36" s="86">
        <f t="shared" si="42"/>
        <v>924.12500000000011</v>
      </c>
      <c r="T36" s="27">
        <f t="shared" si="38"/>
        <v>9.5136518771331016E-2</v>
      </c>
      <c r="U36" s="27">
        <f>IF(ISBLANK(F36),"",-(S24-S36)/S24)</f>
        <v>0.21715508725716182</v>
      </c>
      <c r="V36" s="25">
        <f t="shared" si="5"/>
        <v>0.52150747075159909</v>
      </c>
      <c r="W36" s="134" t="str">
        <f t="shared" si="6"/>
        <v/>
      </c>
      <c r="X36" s="26">
        <f t="shared" si="7"/>
        <v>6.7682630522088352E-2</v>
      </c>
      <c r="Y36" s="33">
        <f t="shared" si="22"/>
        <v>331709.31</v>
      </c>
      <c r="Z36" s="29">
        <f t="shared" si="23"/>
        <v>8.2483976128310335E-2</v>
      </c>
      <c r="AA36" s="17">
        <v>39845</v>
      </c>
      <c r="AB36" s="39">
        <v>31</v>
      </c>
      <c r="AC36" s="131">
        <v>32440</v>
      </c>
      <c r="AD36" s="139">
        <v>15223.118099352052</v>
      </c>
      <c r="AE36" s="131">
        <f t="shared" si="8"/>
        <v>808</v>
      </c>
      <c r="AF36" s="131">
        <f t="shared" si="9"/>
        <v>33</v>
      </c>
      <c r="AG36" s="3">
        <f t="shared" si="24"/>
        <v>198800</v>
      </c>
      <c r="AH36" s="3">
        <f t="shared" si="10"/>
        <v>3244</v>
      </c>
      <c r="AI36" s="3">
        <f t="shared" si="25"/>
        <v>19880</v>
      </c>
      <c r="AJ36" s="37">
        <f t="shared" si="11"/>
        <v>1046.4516129032259</v>
      </c>
      <c r="AK36" s="37">
        <f t="shared" si="26"/>
        <v>360</v>
      </c>
      <c r="AL36" s="16">
        <f t="shared" si="27"/>
        <v>552.22222222222217</v>
      </c>
      <c r="AM36" s="27">
        <f t="shared" si="39"/>
        <v>-2.5240384615384536E-2</v>
      </c>
      <c r="AN36" s="27">
        <f t="shared" ref="AN36:AN84" si="44">IF(ISBLANK(AC36),"",-(AL24-AL36)/AL24)</f>
        <v>1.567330417922699</v>
      </c>
      <c r="AO36" s="41">
        <f t="shared" si="12"/>
        <v>0.46926997840172785</v>
      </c>
      <c r="AP36" s="5">
        <f t="shared" si="40"/>
        <v>93290.871706263511</v>
      </c>
      <c r="AQ36" s="4">
        <f t="shared" si="28"/>
        <v>0.46926997840172791</v>
      </c>
      <c r="AR36">
        <f t="shared" si="29"/>
        <v>3211</v>
      </c>
      <c r="AS36" s="6">
        <f t="shared" si="13"/>
        <v>40.148514851485146</v>
      </c>
      <c r="AT36" s="39"/>
      <c r="AU36" s="32">
        <f t="shared" si="30"/>
        <v>0</v>
      </c>
      <c r="AV36" s="30">
        <f t="shared" si="1"/>
        <v>35446.688099352054</v>
      </c>
      <c r="AW36" s="33">
        <f t="shared" si="31"/>
        <v>425000.18170626357</v>
      </c>
      <c r="AX36" s="16">
        <f t="shared" si="2"/>
        <v>4263.8044</v>
      </c>
      <c r="AY36" s="16">
        <f t="shared" si="32"/>
        <v>33605.379500000003</v>
      </c>
      <c r="AZ36" s="16">
        <f t="shared" si="33"/>
        <v>31462.620689338994</v>
      </c>
      <c r="BA36" s="16">
        <f t="shared" si="34"/>
        <v>45570.827335161055</v>
      </c>
      <c r="BB36" s="34">
        <f t="shared" si="15"/>
        <v>77033.44802450006</v>
      </c>
      <c r="BC36" s="14">
        <f t="shared" si="35"/>
        <v>23.990485214730633</v>
      </c>
      <c r="BD36" s="35">
        <f t="shared" si="16"/>
        <v>0.97422584999739492</v>
      </c>
      <c r="BE36" s="31">
        <f t="shared" si="17"/>
        <v>9.2184648957922626</v>
      </c>
      <c r="BF36" s="36">
        <f t="shared" si="36"/>
        <v>0.45570827335161057</v>
      </c>
    </row>
    <row r="37" spans="1:79" s="18" customFormat="1" x14ac:dyDescent="0.2">
      <c r="A37" s="18" t="s">
        <v>7</v>
      </c>
      <c r="B37" s="32"/>
      <c r="C37" s="17"/>
      <c r="D37" s="131">
        <v>28</v>
      </c>
      <c r="E37" s="135">
        <v>353100</v>
      </c>
      <c r="F37" s="136">
        <v>896.7</v>
      </c>
      <c r="G37" s="136"/>
      <c r="H37" s="140">
        <v>19599.689999999999</v>
      </c>
      <c r="I37" s="11">
        <v>452</v>
      </c>
      <c r="J37" s="11">
        <v>44</v>
      </c>
      <c r="K37" s="24">
        <f t="shared" si="18"/>
        <v>4010100</v>
      </c>
      <c r="L37" s="24">
        <f t="shared" si="19"/>
        <v>3011</v>
      </c>
      <c r="M37" s="16">
        <f t="shared" si="3"/>
        <v>1205.1303</v>
      </c>
      <c r="N37" s="16">
        <f t="shared" si="20"/>
        <v>13686.471299999997</v>
      </c>
      <c r="O37" s="16">
        <f t="shared" si="4"/>
        <v>12610.714285714286</v>
      </c>
      <c r="P37" s="16">
        <f t="shared" si="21"/>
        <v>11101.520353302609</v>
      </c>
      <c r="Q37" s="27">
        <f t="shared" si="37"/>
        <v>3.3215755437978624E-3</v>
      </c>
      <c r="R37" s="27">
        <f t="shared" si="43"/>
        <v>0.17027725303548222</v>
      </c>
      <c r="S37" s="86">
        <f t="shared" si="42"/>
        <v>929.9000000000002</v>
      </c>
      <c r="T37" s="27">
        <f t="shared" si="38"/>
        <v>8.3756345177665059E-2</v>
      </c>
      <c r="U37" s="27">
        <f t="shared" ref="U37:U84" si="45">IF(ISBLANK(F37),"",-(S25-S37)/S25)</f>
        <v>0.19512900427336732</v>
      </c>
      <c r="V37" s="25">
        <f t="shared" si="5"/>
        <v>0.58597795089932925</v>
      </c>
      <c r="W37" s="134" t="str">
        <f t="shared" si="6"/>
        <v/>
      </c>
      <c r="X37" s="26">
        <f t="shared" si="7"/>
        <v>5.5507476635514016E-2</v>
      </c>
      <c r="Y37" s="33">
        <f t="shared" si="22"/>
        <v>326648.01</v>
      </c>
      <c r="Z37" s="29">
        <f t="shared" si="23"/>
        <v>8.145632527867136E-2</v>
      </c>
      <c r="AA37" s="17">
        <v>39873</v>
      </c>
      <c r="AB37" s="39">
        <v>28</v>
      </c>
      <c r="AC37" s="131">
        <v>24140</v>
      </c>
      <c r="AD37" s="139">
        <v>11328.17727861771</v>
      </c>
      <c r="AE37" s="131">
        <f t="shared" si="8"/>
        <v>452</v>
      </c>
      <c r="AF37" s="131">
        <f t="shared" si="9"/>
        <v>44</v>
      </c>
      <c r="AG37" s="3">
        <f t="shared" si="24"/>
        <v>193800</v>
      </c>
      <c r="AH37" s="3">
        <f t="shared" si="10"/>
        <v>2414</v>
      </c>
      <c r="AI37" s="3">
        <f t="shared" si="25"/>
        <v>19380</v>
      </c>
      <c r="AJ37" s="37">
        <f t="shared" si="11"/>
        <v>862.14285714285711</v>
      </c>
      <c r="AK37" s="37">
        <f t="shared" si="26"/>
        <v>359</v>
      </c>
      <c r="AL37" s="16">
        <f t="shared" si="27"/>
        <v>539.83286908077991</v>
      </c>
      <c r="AM37" s="27">
        <f t="shared" si="39"/>
        <v>-0.14199921560937348</v>
      </c>
      <c r="AN37" s="27">
        <f t="shared" si="44"/>
        <v>0.83538160783618631</v>
      </c>
      <c r="AO37" s="41">
        <f t="shared" si="12"/>
        <v>0.46926997840172785</v>
      </c>
      <c r="AP37" s="5">
        <f t="shared" si="40"/>
        <v>90944.521814254869</v>
      </c>
      <c r="AQ37" s="4">
        <f t="shared" si="28"/>
        <v>0.46926997840172791</v>
      </c>
      <c r="AR37">
        <f t="shared" si="29"/>
        <v>3011</v>
      </c>
      <c r="AS37" s="6">
        <f t="shared" si="13"/>
        <v>53.407079646017699</v>
      </c>
      <c r="AT37" s="39"/>
      <c r="AU37" s="32">
        <f t="shared" si="30"/>
        <v>0</v>
      </c>
      <c r="AV37" s="30">
        <f t="shared" si="1"/>
        <v>30927.867278617709</v>
      </c>
      <c r="AW37" s="33">
        <f t="shared" si="31"/>
        <v>417592.53181425482</v>
      </c>
      <c r="AX37" s="16">
        <f t="shared" si="2"/>
        <v>3619.1302999999998</v>
      </c>
      <c r="AY37" s="16">
        <f t="shared" si="32"/>
        <v>33066.471299999997</v>
      </c>
      <c r="AZ37" s="16">
        <f t="shared" si="33"/>
        <v>31373.43161166686</v>
      </c>
      <c r="BA37" s="16">
        <f t="shared" si="34"/>
        <v>44424.679766369278</v>
      </c>
      <c r="BB37" s="34">
        <f t="shared" si="15"/>
        <v>75798.111378036134</v>
      </c>
      <c r="BC37" s="14">
        <f t="shared" si="35"/>
        <v>25.173733436743984</v>
      </c>
      <c r="BD37" s="35">
        <f t="shared" si="16"/>
        <v>0.95724533016902202</v>
      </c>
      <c r="BE37" s="31">
        <f t="shared" si="17"/>
        <v>9.1923327312238108</v>
      </c>
      <c r="BF37" s="36">
        <f t="shared" si="36"/>
        <v>0.44424679766369279</v>
      </c>
    </row>
    <row r="38" spans="1:79" s="18" customFormat="1" x14ac:dyDescent="0.2">
      <c r="A38" s="18" t="s">
        <v>8</v>
      </c>
      <c r="B38" s="32"/>
      <c r="C38" s="17"/>
      <c r="D38" s="131">
        <v>31</v>
      </c>
      <c r="E38" s="135">
        <v>294900</v>
      </c>
      <c r="F38" s="136">
        <v>983.1</v>
      </c>
      <c r="G38" s="136"/>
      <c r="H38" s="140">
        <v>17172.72</v>
      </c>
      <c r="I38" s="11">
        <v>321</v>
      </c>
      <c r="J38" s="11">
        <v>51</v>
      </c>
      <c r="K38" s="24">
        <f t="shared" si="18"/>
        <v>4024500</v>
      </c>
      <c r="L38" s="24">
        <f t="shared" si="19"/>
        <v>2971</v>
      </c>
      <c r="M38" s="16">
        <f t="shared" si="3"/>
        <v>1006.4937</v>
      </c>
      <c r="N38" s="16">
        <f t="shared" si="20"/>
        <v>13735.618499999997</v>
      </c>
      <c r="O38" s="16">
        <f t="shared" si="4"/>
        <v>9512.9032258064508</v>
      </c>
      <c r="P38" s="16">
        <f t="shared" si="21"/>
        <v>11140.230030721965</v>
      </c>
      <c r="Q38" s="27">
        <f t="shared" si="37"/>
        <v>5.1336898395721878E-2</v>
      </c>
      <c r="R38" s="27">
        <f t="shared" si="43"/>
        <v>0.14915312981431569</v>
      </c>
      <c r="S38" s="86">
        <f t="shared" si="42"/>
        <v>929.30000000000018</v>
      </c>
      <c r="T38" s="27">
        <f t="shared" si="38"/>
        <v>-7.270524083610958E-3</v>
      </c>
      <c r="U38" s="27">
        <f t="shared" si="45"/>
        <v>0.14916375552601524</v>
      </c>
      <c r="V38" s="25">
        <f t="shared" si="5"/>
        <v>0.40318479070484742</v>
      </c>
      <c r="W38" s="134" t="str">
        <f t="shared" si="6"/>
        <v/>
      </c>
      <c r="X38" s="26">
        <f t="shared" si="7"/>
        <v>5.8232349949135301E-2</v>
      </c>
      <c r="Y38" s="33">
        <f t="shared" si="22"/>
        <v>323820.5</v>
      </c>
      <c r="Z38" s="29">
        <f t="shared" si="23"/>
        <v>8.0462293452602807E-2</v>
      </c>
      <c r="AA38" s="17">
        <v>39904</v>
      </c>
      <c r="AB38" s="39">
        <v>31</v>
      </c>
      <c r="AC38" s="131">
        <v>17400</v>
      </c>
      <c r="AD38" s="139">
        <v>8165.2976241900642</v>
      </c>
      <c r="AE38" s="131">
        <f t="shared" si="8"/>
        <v>321</v>
      </c>
      <c r="AF38" s="131">
        <f t="shared" si="9"/>
        <v>51</v>
      </c>
      <c r="AG38" s="3">
        <f t="shared" si="24"/>
        <v>191840</v>
      </c>
      <c r="AH38" s="3">
        <f t="shared" si="10"/>
        <v>1740</v>
      </c>
      <c r="AI38" s="3">
        <f t="shared" si="25"/>
        <v>19184</v>
      </c>
      <c r="AJ38" s="37">
        <f t="shared" si="11"/>
        <v>561.29032258064512</v>
      </c>
      <c r="AK38" s="37">
        <f t="shared" si="26"/>
        <v>359</v>
      </c>
      <c r="AL38" s="16">
        <f t="shared" si="27"/>
        <v>534.37325905292482</v>
      </c>
      <c r="AM38" s="27">
        <f t="shared" si="39"/>
        <v>-0.10123966942148764</v>
      </c>
      <c r="AN38" s="27">
        <f t="shared" si="44"/>
        <v>0.53988357462696224</v>
      </c>
      <c r="AO38" s="41">
        <f t="shared" si="12"/>
        <v>0.46926997840172785</v>
      </c>
      <c r="AP38" s="5">
        <f t="shared" si="40"/>
        <v>90024.752656587472</v>
      </c>
      <c r="AQ38" s="4">
        <f t="shared" si="28"/>
        <v>0.46926997840172785</v>
      </c>
      <c r="AR38">
        <f t="shared" si="29"/>
        <v>2971</v>
      </c>
      <c r="AS38" s="6">
        <f t="shared" si="13"/>
        <v>54.205607476635514</v>
      </c>
      <c r="AT38" s="39"/>
      <c r="AU38" s="32">
        <f t="shared" si="30"/>
        <v>0</v>
      </c>
      <c r="AV38" s="30">
        <f t="shared" si="1"/>
        <v>25338.017624190066</v>
      </c>
      <c r="AW38" s="33">
        <f t="shared" si="31"/>
        <v>413845.25265658746</v>
      </c>
      <c r="AX38" s="16">
        <f t="shared" si="2"/>
        <v>2746.4937</v>
      </c>
      <c r="AY38" s="16">
        <f t="shared" si="32"/>
        <v>32919.618500000004</v>
      </c>
      <c r="AZ38" s="16">
        <f t="shared" si="33"/>
        <v>31486.091499252703</v>
      </c>
      <c r="BA38" s="16">
        <f t="shared" si="34"/>
        <v>43975.3899194029</v>
      </c>
      <c r="BB38" s="34">
        <f t="shared" si="15"/>
        <v>75461.481418655618</v>
      </c>
      <c r="BC38" s="14">
        <f t="shared" si="35"/>
        <v>25.399354230446185</v>
      </c>
      <c r="BD38" s="35">
        <f t="shared" si="16"/>
        <v>0.94865546037673287</v>
      </c>
      <c r="BE38" s="31">
        <f t="shared" si="17"/>
        <v>9.2253417812050138</v>
      </c>
      <c r="BF38" s="36">
        <f t="shared" si="36"/>
        <v>0.43975389919402902</v>
      </c>
    </row>
    <row r="39" spans="1:79" s="18" customFormat="1" x14ac:dyDescent="0.2">
      <c r="A39" s="18" t="s">
        <v>9</v>
      </c>
      <c r="B39" s="32"/>
      <c r="C39" s="17"/>
      <c r="D39" s="131">
        <v>30</v>
      </c>
      <c r="E39" s="135">
        <v>312900</v>
      </c>
      <c r="F39" s="136">
        <v>941.4</v>
      </c>
      <c r="G39" s="136"/>
      <c r="H39" s="140">
        <v>16932.37</v>
      </c>
      <c r="I39" s="11">
        <v>157</v>
      </c>
      <c r="J39" s="11">
        <v>57</v>
      </c>
      <c r="K39" s="24">
        <f t="shared" si="18"/>
        <v>4050900</v>
      </c>
      <c r="L39" s="24">
        <f t="shared" si="19"/>
        <v>2968</v>
      </c>
      <c r="M39" s="16">
        <f t="shared" si="3"/>
        <v>1067.9277</v>
      </c>
      <c r="N39" s="16">
        <f t="shared" si="20"/>
        <v>13825.721699999998</v>
      </c>
      <c r="O39" s="16">
        <f t="shared" si="4"/>
        <v>10430</v>
      </c>
      <c r="P39" s="16">
        <f t="shared" si="21"/>
        <v>11213.563364055299</v>
      </c>
      <c r="Q39" s="27">
        <f t="shared" si="37"/>
        <v>9.2146596858638741E-2</v>
      </c>
      <c r="R39" s="27">
        <f t="shared" si="43"/>
        <v>0.14685917615379057</v>
      </c>
      <c r="S39" s="86">
        <f t="shared" si="42"/>
        <v>941.02499999999998</v>
      </c>
      <c r="T39" s="27">
        <f t="shared" si="38"/>
        <v>0.17572124391157729</v>
      </c>
      <c r="U39" s="27">
        <f t="shared" si="45"/>
        <v>0.15661873156342193</v>
      </c>
      <c r="V39" s="25">
        <f t="shared" si="5"/>
        <v>0.46163515331775368</v>
      </c>
      <c r="W39" s="134" t="str">
        <f t="shared" si="6"/>
        <v/>
      </c>
      <c r="X39" s="26">
        <f t="shared" si="7"/>
        <v>5.4114317673378071E-2</v>
      </c>
      <c r="Y39" s="33">
        <f t="shared" si="22"/>
        <v>320869.27999999991</v>
      </c>
      <c r="Z39" s="29">
        <f t="shared" si="23"/>
        <v>7.9209380631464585E-2</v>
      </c>
      <c r="AA39" s="17">
        <v>39934</v>
      </c>
      <c r="AB39" s="39">
        <v>30</v>
      </c>
      <c r="AC39" s="131">
        <v>11940</v>
      </c>
      <c r="AD39" s="139">
        <v>5603.0835421166303</v>
      </c>
      <c r="AE39" s="131">
        <f t="shared" si="8"/>
        <v>157</v>
      </c>
      <c r="AF39" s="131">
        <f t="shared" si="9"/>
        <v>57</v>
      </c>
      <c r="AG39" s="3">
        <f t="shared" si="24"/>
        <v>190290</v>
      </c>
      <c r="AH39" s="3">
        <f t="shared" si="10"/>
        <v>1194</v>
      </c>
      <c r="AI39" s="3">
        <f t="shared" si="25"/>
        <v>19029</v>
      </c>
      <c r="AJ39" s="37">
        <f t="shared" si="11"/>
        <v>398</v>
      </c>
      <c r="AK39" s="37">
        <f t="shared" si="26"/>
        <v>359</v>
      </c>
      <c r="AL39" s="16">
        <f t="shared" si="27"/>
        <v>530.0557103064067</v>
      </c>
      <c r="AM39" s="27">
        <f t="shared" si="39"/>
        <v>-0.11489992587101561</v>
      </c>
      <c r="AN39" s="27">
        <f t="shared" si="44"/>
        <v>0.38078569375192062</v>
      </c>
      <c r="AO39" s="41">
        <f t="shared" si="12"/>
        <v>0.46926997840172785</v>
      </c>
      <c r="AP39" s="5">
        <f t="shared" si="40"/>
        <v>89297.384190064782</v>
      </c>
      <c r="AQ39" s="4">
        <f t="shared" si="28"/>
        <v>0.46926997840172779</v>
      </c>
      <c r="AR39">
        <f t="shared" si="29"/>
        <v>2968</v>
      </c>
      <c r="AS39" s="6">
        <f t="shared" si="13"/>
        <v>76.050955414012734</v>
      </c>
      <c r="AT39" s="39"/>
      <c r="AU39" s="32">
        <f t="shared" si="30"/>
        <v>0</v>
      </c>
      <c r="AV39" s="30">
        <f t="shared" si="1"/>
        <v>22535.453542116629</v>
      </c>
      <c r="AW39" s="33">
        <f t="shared" si="31"/>
        <v>410166.66419006477</v>
      </c>
      <c r="AX39" s="16">
        <f t="shared" si="2"/>
        <v>2261.9277000000002</v>
      </c>
      <c r="AY39" s="16">
        <f t="shared" si="32"/>
        <v>32854.721699999995</v>
      </c>
      <c r="AZ39" s="16">
        <f t="shared" si="33"/>
        <v>31692.634626493425</v>
      </c>
      <c r="BA39" s="16">
        <f t="shared" si="34"/>
        <v>43620.084173077455</v>
      </c>
      <c r="BB39" s="34">
        <f t="shared" si="15"/>
        <v>75312.718799570866</v>
      </c>
      <c r="BC39" s="14">
        <f t="shared" si="35"/>
        <v>25.374905255920105</v>
      </c>
      <c r="BD39" s="35">
        <f t="shared" si="16"/>
        <v>0.94022304992175199</v>
      </c>
      <c r="BE39" s="31">
        <f t="shared" si="17"/>
        <v>9.2858583728372199</v>
      </c>
      <c r="BF39" s="36">
        <f t="shared" si="36"/>
        <v>0.4362008417307745</v>
      </c>
    </row>
    <row r="40" spans="1:79" s="18" customFormat="1" x14ac:dyDescent="0.2">
      <c r="A40" s="18" t="s">
        <v>10</v>
      </c>
      <c r="B40" s="32"/>
      <c r="C40" s="17"/>
      <c r="D40" s="131">
        <v>31</v>
      </c>
      <c r="E40" s="135">
        <v>344100</v>
      </c>
      <c r="F40" s="136">
        <v>975</v>
      </c>
      <c r="G40" s="136"/>
      <c r="H40" s="140">
        <v>20233.46</v>
      </c>
      <c r="I40" s="11">
        <v>20</v>
      </c>
      <c r="J40" s="11">
        <v>66</v>
      </c>
      <c r="K40" s="24">
        <f t="shared" si="18"/>
        <v>4088100</v>
      </c>
      <c r="L40" s="24">
        <f t="shared" si="19"/>
        <v>2969</v>
      </c>
      <c r="M40" s="16">
        <f t="shared" si="3"/>
        <v>1174.4132999999999</v>
      </c>
      <c r="N40" s="16">
        <f t="shared" si="20"/>
        <v>13952.685300000001</v>
      </c>
      <c r="O40" s="16">
        <f t="shared" si="4"/>
        <v>11100</v>
      </c>
      <c r="P40" s="16">
        <f t="shared" si="21"/>
        <v>11313.563364055299</v>
      </c>
      <c r="Q40" s="27">
        <f t="shared" si="37"/>
        <v>0.12121212121212122</v>
      </c>
      <c r="R40" s="27">
        <f t="shared" si="43"/>
        <v>0.15470562296618368</v>
      </c>
      <c r="S40" s="86">
        <f t="shared" si="42"/>
        <v>956.125</v>
      </c>
      <c r="T40" s="27">
        <f t="shared" si="38"/>
        <v>0.22826908541194263</v>
      </c>
      <c r="U40" s="27">
        <f t="shared" si="45"/>
        <v>0.17521433180714774</v>
      </c>
      <c r="V40" s="25">
        <f t="shared" si="5"/>
        <v>0.47435897435897434</v>
      </c>
      <c r="W40" s="134" t="str">
        <f t="shared" si="6"/>
        <v/>
      </c>
      <c r="X40" s="26">
        <f t="shared" si="7"/>
        <v>5.8801104330136585E-2</v>
      </c>
      <c r="Y40" s="33">
        <f t="shared" si="22"/>
        <v>312088.26999999996</v>
      </c>
      <c r="Z40" s="29">
        <f t="shared" si="23"/>
        <v>7.6340664367309991E-2</v>
      </c>
      <c r="AA40" s="17">
        <v>39965</v>
      </c>
      <c r="AB40" s="39">
        <v>31</v>
      </c>
      <c r="AC40" s="131">
        <v>7210</v>
      </c>
      <c r="AD40" s="139">
        <v>3383.4365442764579</v>
      </c>
      <c r="AE40" s="131">
        <f t="shared" si="8"/>
        <v>20</v>
      </c>
      <c r="AF40" s="131">
        <f t="shared" si="9"/>
        <v>66</v>
      </c>
      <c r="AG40" s="3">
        <f t="shared" si="24"/>
        <v>189240</v>
      </c>
      <c r="AH40" s="3">
        <f t="shared" si="10"/>
        <v>721</v>
      </c>
      <c r="AI40" s="3">
        <f t="shared" si="25"/>
        <v>18924</v>
      </c>
      <c r="AJ40" s="37">
        <f t="shared" si="11"/>
        <v>232.58064516129033</v>
      </c>
      <c r="AK40" s="37">
        <f t="shared" si="26"/>
        <v>359</v>
      </c>
      <c r="AL40" s="16">
        <f t="shared" si="27"/>
        <v>527.13091922005572</v>
      </c>
      <c r="AM40" s="27">
        <f t="shared" si="39"/>
        <v>-0.12711864406779652</v>
      </c>
      <c r="AN40" s="27">
        <f t="shared" si="44"/>
        <v>0.29692065363364073</v>
      </c>
      <c r="AO40" s="41">
        <f t="shared" si="12"/>
        <v>0.46926997840172785</v>
      </c>
      <c r="AP40" s="5">
        <f t="shared" si="40"/>
        <v>88804.65071274298</v>
      </c>
      <c r="AQ40" s="4">
        <f t="shared" si="28"/>
        <v>0.46926997840172785</v>
      </c>
      <c r="AR40">
        <f t="shared" si="29"/>
        <v>2969</v>
      </c>
      <c r="AS40" s="6">
        <f t="shared" si="13"/>
        <v>360.5</v>
      </c>
      <c r="AT40" s="39"/>
      <c r="AU40" s="32">
        <f t="shared" si="30"/>
        <v>0</v>
      </c>
      <c r="AV40" s="30">
        <f t="shared" si="1"/>
        <v>23616.896544276457</v>
      </c>
      <c r="AW40" s="33">
        <f t="shared" si="31"/>
        <v>400892.92071274295</v>
      </c>
      <c r="AX40" s="16">
        <f t="shared" si="2"/>
        <v>1895.4132999999999</v>
      </c>
      <c r="AY40" s="16">
        <f t="shared" si="32"/>
        <v>32876.685299999997</v>
      </c>
      <c r="AZ40" s="16">
        <f t="shared" si="33"/>
        <v>31983.672669423537</v>
      </c>
      <c r="BA40" s="16">
        <f t="shared" si="34"/>
        <v>43379.393183631182</v>
      </c>
      <c r="BB40" s="34">
        <f t="shared" si="15"/>
        <v>75363.065853054708</v>
      </c>
      <c r="BC40" s="14">
        <f t="shared" si="35"/>
        <v>25.383316218610545</v>
      </c>
      <c r="BD40" s="35">
        <f t="shared" si="16"/>
        <v>0.91896489284148997</v>
      </c>
      <c r="BE40" s="31">
        <f t="shared" si="17"/>
        <v>9.3711317519553283</v>
      </c>
      <c r="BF40" s="36">
        <f t="shared" si="36"/>
        <v>0.43379393183631176</v>
      </c>
    </row>
    <row r="41" spans="1:79" s="18" customFormat="1" x14ac:dyDescent="0.2">
      <c r="A41" s="18" t="s">
        <v>11</v>
      </c>
      <c r="B41" s="32"/>
      <c r="C41" s="17"/>
      <c r="D41" s="131">
        <v>30</v>
      </c>
      <c r="E41" s="137">
        <v>357900</v>
      </c>
      <c r="F41" s="136">
        <v>1050.2</v>
      </c>
      <c r="G41" s="136">
        <v>685.8</v>
      </c>
      <c r="H41" s="140">
        <v>21396.5</v>
      </c>
      <c r="I41" s="11">
        <v>0</v>
      </c>
      <c r="J41" s="11">
        <v>79</v>
      </c>
      <c r="K41" s="24">
        <f t="shared" si="18"/>
        <v>4125300</v>
      </c>
      <c r="L41" s="24">
        <f t="shared" si="19"/>
        <v>2969</v>
      </c>
      <c r="M41" s="16">
        <f t="shared" si="3"/>
        <v>1221.5127</v>
      </c>
      <c r="N41" s="16">
        <f t="shared" si="20"/>
        <v>14079.6489</v>
      </c>
      <c r="O41" s="16">
        <f t="shared" si="4"/>
        <v>11930</v>
      </c>
      <c r="P41" s="16">
        <f t="shared" si="21"/>
        <v>11416.896697388633</v>
      </c>
      <c r="Q41" s="27">
        <f t="shared" si="37"/>
        <v>0.11599625818521983</v>
      </c>
      <c r="R41" s="27">
        <f t="shared" si="43"/>
        <v>0.14013640826386747</v>
      </c>
      <c r="S41" s="86">
        <f t="shared" si="42"/>
        <v>977.76666666666654</v>
      </c>
      <c r="T41" s="27">
        <f t="shared" si="38"/>
        <v>0.32852624920936124</v>
      </c>
      <c r="U41" s="27">
        <f t="shared" si="45"/>
        <v>0.20425737188369211</v>
      </c>
      <c r="V41" s="25">
        <f t="shared" si="5"/>
        <v>0.47332254173808164</v>
      </c>
      <c r="W41" s="134">
        <f t="shared" si="6"/>
        <v>0.60495391705069124</v>
      </c>
      <c r="X41" s="26">
        <f t="shared" si="7"/>
        <v>5.9783459066778427E-2</v>
      </c>
      <c r="Y41" s="33">
        <f t="shared" si="22"/>
        <v>303410.51999999996</v>
      </c>
      <c r="Z41" s="29">
        <f t="shared" si="23"/>
        <v>7.3548716456984936E-2</v>
      </c>
      <c r="AA41" s="17">
        <v>39995</v>
      </c>
      <c r="AB41" s="39">
        <v>30</v>
      </c>
      <c r="AC41" s="131">
        <v>6350</v>
      </c>
      <c r="AD41" s="139">
        <v>2979.8643628509717</v>
      </c>
      <c r="AE41" s="131">
        <f t="shared" si="8"/>
        <v>0</v>
      </c>
      <c r="AF41" s="131">
        <f t="shared" si="9"/>
        <v>79</v>
      </c>
      <c r="AG41" s="3">
        <f t="shared" si="24"/>
        <v>189870</v>
      </c>
      <c r="AH41" s="3">
        <f t="shared" si="10"/>
        <v>635</v>
      </c>
      <c r="AI41" s="3">
        <f t="shared" si="25"/>
        <v>18987</v>
      </c>
      <c r="AJ41" s="37">
        <f t="shared" si="11"/>
        <v>211.66666666666666</v>
      </c>
      <c r="AK41" s="37">
        <f t="shared" si="26"/>
        <v>359</v>
      </c>
      <c r="AL41" s="16">
        <f t="shared" si="27"/>
        <v>528.88579387186633</v>
      </c>
      <c r="AM41" s="27">
        <f t="shared" si="39"/>
        <v>0.11013986013986014</v>
      </c>
      <c r="AN41" s="27">
        <f t="shared" si="44"/>
        <v>0.25305670997606855</v>
      </c>
      <c r="AO41" s="41">
        <f t="shared" si="12"/>
        <v>0.46926997840172785</v>
      </c>
      <c r="AP41" s="5">
        <f t="shared" si="40"/>
        <v>89100.29079913607</v>
      </c>
      <c r="AQ41" s="4">
        <f t="shared" si="28"/>
        <v>0.46926997840172785</v>
      </c>
      <c r="AR41">
        <f t="shared" si="29"/>
        <v>2969</v>
      </c>
      <c r="AS41" s="6" t="e">
        <f t="shared" si="13"/>
        <v>#DIV/0!</v>
      </c>
      <c r="AT41" s="39"/>
      <c r="AU41" s="32">
        <f t="shared" si="30"/>
        <v>0</v>
      </c>
      <c r="AV41" s="30">
        <f t="shared" si="1"/>
        <v>24376.364362850971</v>
      </c>
      <c r="AW41" s="33">
        <f t="shared" si="31"/>
        <v>392510.81079913606</v>
      </c>
      <c r="AX41" s="16">
        <f t="shared" si="2"/>
        <v>1856.5127</v>
      </c>
      <c r="AY41" s="16">
        <f t="shared" si="32"/>
        <v>33066.6489</v>
      </c>
      <c r="AZ41" s="16">
        <f t="shared" si="33"/>
        <v>32274.710712353637</v>
      </c>
      <c r="BA41" s="16">
        <f t="shared" si="34"/>
        <v>43523.807777298942</v>
      </c>
      <c r="BB41" s="34">
        <f t="shared" si="15"/>
        <v>75798.518489652575</v>
      </c>
      <c r="BC41" s="14">
        <f t="shared" si="35"/>
        <v>25.529982650607131</v>
      </c>
      <c r="BD41" s="35">
        <f t="shared" si="16"/>
        <v>0.89975062304383802</v>
      </c>
      <c r="BE41" s="31">
        <f t="shared" si="17"/>
        <v>9.4564051310734367</v>
      </c>
      <c r="BF41" s="36">
        <f t="shared" si="36"/>
        <v>0.43523807777298945</v>
      </c>
    </row>
    <row r="42" spans="1:79" s="18" customFormat="1" x14ac:dyDescent="0.2">
      <c r="A42" s="18" t="s">
        <v>12</v>
      </c>
      <c r="B42" s="32"/>
      <c r="C42" s="17"/>
      <c r="D42" s="131">
        <v>31</v>
      </c>
      <c r="E42" s="137">
        <v>378000</v>
      </c>
      <c r="F42" s="136">
        <v>807</v>
      </c>
      <c r="G42" s="136">
        <v>654.29999999999995</v>
      </c>
      <c r="H42" s="140">
        <v>20623.05</v>
      </c>
      <c r="I42" s="11">
        <v>0</v>
      </c>
      <c r="J42" s="11">
        <v>78</v>
      </c>
      <c r="K42" s="24">
        <f t="shared" si="18"/>
        <v>4113600</v>
      </c>
      <c r="L42" s="24">
        <f t="shared" si="19"/>
        <v>2969</v>
      </c>
      <c r="M42" s="16">
        <f t="shared" si="3"/>
        <v>1290.114</v>
      </c>
      <c r="N42" s="16">
        <f t="shared" si="20"/>
        <v>14039.7168</v>
      </c>
      <c r="O42" s="16">
        <f t="shared" si="4"/>
        <v>12193.548387096775</v>
      </c>
      <c r="P42" s="16">
        <f t="shared" si="21"/>
        <v>11385.445084485407</v>
      </c>
      <c r="Q42" s="27">
        <f t="shared" si="37"/>
        <v>-3.0023094688221608E-2</v>
      </c>
      <c r="R42" s="27">
        <f t="shared" si="43"/>
        <v>9.612337551017168E-2</v>
      </c>
      <c r="S42" s="86">
        <f t="shared" si="42"/>
        <v>961.24166666666679</v>
      </c>
      <c r="T42" s="27">
        <f t="shared" si="38"/>
        <v>-0.1972545508803342</v>
      </c>
      <c r="U42" s="27">
        <f t="shared" si="45"/>
        <v>0.13978972747574187</v>
      </c>
      <c r="V42" s="25">
        <f t="shared" si="5"/>
        <v>0.62957189111404244</v>
      </c>
      <c r="W42" s="134">
        <f t="shared" si="6"/>
        <v>0.55224799835762683</v>
      </c>
      <c r="X42" s="26">
        <f t="shared" si="7"/>
        <v>5.4558333333333334E-2</v>
      </c>
      <c r="Y42" s="33">
        <f t="shared" si="22"/>
        <v>287083.81</v>
      </c>
      <c r="Z42" s="29">
        <f t="shared" si="23"/>
        <v>6.9788946421625822E-2</v>
      </c>
      <c r="AA42" s="17">
        <v>40026</v>
      </c>
      <c r="AB42" s="39">
        <v>31</v>
      </c>
      <c r="AC42" s="131">
        <v>5830</v>
      </c>
      <c r="AD42" s="139">
        <v>2735.8439740820731</v>
      </c>
      <c r="AE42" s="131">
        <f t="shared" si="8"/>
        <v>0</v>
      </c>
      <c r="AF42" s="131">
        <f t="shared" si="9"/>
        <v>78</v>
      </c>
      <c r="AG42" s="3">
        <f t="shared" si="24"/>
        <v>190430</v>
      </c>
      <c r="AH42" s="3">
        <f t="shared" si="10"/>
        <v>583</v>
      </c>
      <c r="AI42" s="3">
        <f t="shared" si="25"/>
        <v>19043</v>
      </c>
      <c r="AJ42" s="37">
        <f t="shared" si="11"/>
        <v>188.06451612903226</v>
      </c>
      <c r="AK42" s="37">
        <f t="shared" si="26"/>
        <v>359</v>
      </c>
      <c r="AL42" s="16">
        <f t="shared" si="27"/>
        <v>530.44568245125345</v>
      </c>
      <c r="AM42" s="27">
        <f t="shared" si="39"/>
        <v>0.10626185958254268</v>
      </c>
      <c r="AN42" s="27">
        <f t="shared" si="44"/>
        <v>0.21529339453620505</v>
      </c>
      <c r="AO42" s="41">
        <f t="shared" si="12"/>
        <v>0.46926997840172779</v>
      </c>
      <c r="AP42" s="5">
        <f t="shared" si="40"/>
        <v>89363.081987041034</v>
      </c>
      <c r="AQ42" s="4">
        <f t="shared" si="28"/>
        <v>0.46926997840172785</v>
      </c>
      <c r="AR42">
        <f t="shared" si="29"/>
        <v>2969</v>
      </c>
      <c r="AS42" s="6" t="e">
        <f t="shared" si="13"/>
        <v>#DIV/0!</v>
      </c>
      <c r="AT42" s="39"/>
      <c r="AU42" s="32">
        <f t="shared" si="30"/>
        <v>0</v>
      </c>
      <c r="AV42" s="30">
        <f t="shared" si="1"/>
        <v>23358.893974082072</v>
      </c>
      <c r="AW42" s="33">
        <f t="shared" si="31"/>
        <v>376446.89198704099</v>
      </c>
      <c r="AX42" s="16">
        <f t="shared" si="2"/>
        <v>1873.114</v>
      </c>
      <c r="AY42" s="16">
        <f t="shared" si="32"/>
        <v>33082.716800000002</v>
      </c>
      <c r="AZ42" s="16">
        <f t="shared" si="33"/>
        <v>32183.174553690136</v>
      </c>
      <c r="BA42" s="16">
        <f t="shared" si="34"/>
        <v>43652.176305003624</v>
      </c>
      <c r="BB42" s="34">
        <f t="shared" si="15"/>
        <v>75835.350858693768</v>
      </c>
      <c r="BC42" s="14">
        <f t="shared" si="35"/>
        <v>25.542388298650646</v>
      </c>
      <c r="BD42" s="35">
        <f t="shared" si="16"/>
        <v>0.86292738006033542</v>
      </c>
      <c r="BE42" s="31">
        <f t="shared" si="17"/>
        <v>9.4295852779637084</v>
      </c>
      <c r="BF42" s="36">
        <f t="shared" si="36"/>
        <v>0.4365217630500362</v>
      </c>
    </row>
    <row r="43" spans="1:79" s="18" customFormat="1" x14ac:dyDescent="0.2">
      <c r="A43" s="18" t="s">
        <v>13</v>
      </c>
      <c r="B43" s="32"/>
      <c r="C43" s="17"/>
      <c r="D43" s="131">
        <v>31</v>
      </c>
      <c r="E43" s="137">
        <v>420000</v>
      </c>
      <c r="F43" s="136">
        <v>1177.9000000000001</v>
      </c>
      <c r="G43" s="136">
        <v>738.9</v>
      </c>
      <c r="H43" s="140">
        <v>24512.080000000002</v>
      </c>
      <c r="I43" s="11">
        <v>0</v>
      </c>
      <c r="J43" s="11">
        <v>76</v>
      </c>
      <c r="K43" s="24">
        <f t="shared" si="18"/>
        <v>4149300</v>
      </c>
      <c r="L43" s="24">
        <f t="shared" si="19"/>
        <v>2969</v>
      </c>
      <c r="M43" s="16">
        <f t="shared" si="3"/>
        <v>1433.4599999999998</v>
      </c>
      <c r="N43" s="16">
        <f t="shared" si="20"/>
        <v>14161.560899999997</v>
      </c>
      <c r="O43" s="16">
        <f t="shared" si="4"/>
        <v>13548.387096774193</v>
      </c>
      <c r="P43" s="16">
        <f t="shared" si="21"/>
        <v>11481.41282642089</v>
      </c>
      <c r="Q43" s="27">
        <f t="shared" si="37"/>
        <v>9.2896174863388012E-2</v>
      </c>
      <c r="R43" s="27">
        <f t="shared" si="43"/>
        <v>9.6002237384277378E-2</v>
      </c>
      <c r="S43" s="86">
        <f t="shared" si="42"/>
        <v>955.09999999999991</v>
      </c>
      <c r="T43" s="27">
        <f t="shared" si="38"/>
        <v>-5.8884627676573847E-2</v>
      </c>
      <c r="U43" s="27">
        <f t="shared" si="45"/>
        <v>0.11629266012155214</v>
      </c>
      <c r="V43" s="25">
        <f t="shared" si="5"/>
        <v>0.47925641313545975</v>
      </c>
      <c r="W43" s="134">
        <f t="shared" si="6"/>
        <v>0.61451377295492482</v>
      </c>
      <c r="X43" s="26">
        <f t="shared" si="7"/>
        <v>5.8362095238095241E-2</v>
      </c>
      <c r="Y43" s="33">
        <f t="shared" si="22"/>
        <v>273620.12</v>
      </c>
      <c r="Z43" s="29">
        <f t="shared" si="23"/>
        <v>6.594368206685465E-2</v>
      </c>
      <c r="AA43" s="17">
        <v>40057</v>
      </c>
      <c r="AB43" s="39">
        <v>31</v>
      </c>
      <c r="AC43" s="131">
        <v>10200</v>
      </c>
      <c r="AD43" s="139">
        <v>4786.5537796976241</v>
      </c>
      <c r="AE43" s="131">
        <f t="shared" si="8"/>
        <v>0</v>
      </c>
      <c r="AF43" s="131">
        <f t="shared" si="9"/>
        <v>76</v>
      </c>
      <c r="AG43" s="3">
        <f t="shared" si="24"/>
        <v>193920</v>
      </c>
      <c r="AH43" s="3">
        <f t="shared" si="10"/>
        <v>1020</v>
      </c>
      <c r="AI43" s="3">
        <f t="shared" si="25"/>
        <v>19392</v>
      </c>
      <c r="AJ43" s="37">
        <f t="shared" si="11"/>
        <v>329.03225806451616</v>
      </c>
      <c r="AK43" s="37">
        <f t="shared" si="26"/>
        <v>359</v>
      </c>
      <c r="AL43" s="16">
        <f t="shared" si="27"/>
        <v>540.16713091922009</v>
      </c>
      <c r="AM43" s="27">
        <f t="shared" si="39"/>
        <v>0.52011922503725805</v>
      </c>
      <c r="AN43" s="27">
        <f t="shared" si="44"/>
        <v>0.18767974237915749</v>
      </c>
      <c r="AO43" s="41">
        <f t="shared" si="12"/>
        <v>0.46926997840172785</v>
      </c>
      <c r="AP43" s="5">
        <f t="shared" si="40"/>
        <v>91000.834211663067</v>
      </c>
      <c r="AQ43" s="4">
        <f t="shared" si="28"/>
        <v>0.46926997840172785</v>
      </c>
      <c r="AR43">
        <f t="shared" si="29"/>
        <v>2969</v>
      </c>
      <c r="AS43" s="6" t="e">
        <f t="shared" si="13"/>
        <v>#DIV/0!</v>
      </c>
      <c r="AT43" s="39"/>
      <c r="AU43" s="32">
        <f t="shared" si="30"/>
        <v>0</v>
      </c>
      <c r="AV43" s="30">
        <f t="shared" si="1"/>
        <v>29298.633779697626</v>
      </c>
      <c r="AW43" s="33">
        <f t="shared" si="31"/>
        <v>364620.95421166311</v>
      </c>
      <c r="AX43" s="16">
        <f t="shared" si="2"/>
        <v>2453.46</v>
      </c>
      <c r="AY43" s="16">
        <f t="shared" si="32"/>
        <v>33553.560900000004</v>
      </c>
      <c r="AZ43" s="16">
        <f t="shared" si="33"/>
        <v>32462.477191663373</v>
      </c>
      <c r="BA43" s="16">
        <f t="shared" si="34"/>
        <v>44452.187308020286</v>
      </c>
      <c r="BB43" s="34">
        <f t="shared" si="15"/>
        <v>76914.664499683669</v>
      </c>
      <c r="BC43" s="14">
        <f t="shared" si="35"/>
        <v>25.905915964864825</v>
      </c>
      <c r="BD43" s="35">
        <f t="shared" si="16"/>
        <v>0.83581884040047105</v>
      </c>
      <c r="BE43" s="31">
        <f t="shared" si="17"/>
        <v>9.5114202143754412</v>
      </c>
      <c r="BF43" s="36">
        <f t="shared" si="36"/>
        <v>0.4445218730802028</v>
      </c>
    </row>
    <row r="44" spans="1:79" s="18" customFormat="1" x14ac:dyDescent="0.2">
      <c r="A44" s="18" t="s">
        <v>14</v>
      </c>
      <c r="B44" s="32"/>
      <c r="C44" s="17"/>
      <c r="D44" s="131">
        <v>30</v>
      </c>
      <c r="E44" s="137">
        <v>377100</v>
      </c>
      <c r="F44" s="136">
        <v>1165.5</v>
      </c>
      <c r="G44" s="136">
        <v>728.3</v>
      </c>
      <c r="H44" s="140">
        <v>22727.29</v>
      </c>
      <c r="I44" s="11">
        <v>5</v>
      </c>
      <c r="J44" s="11">
        <v>69</v>
      </c>
      <c r="K44" s="24">
        <f t="shared" si="18"/>
        <v>4118700</v>
      </c>
      <c r="L44" s="24">
        <f t="shared" si="19"/>
        <v>2974</v>
      </c>
      <c r="M44" s="16">
        <f t="shared" si="3"/>
        <v>1287.0422999999998</v>
      </c>
      <c r="N44" s="16">
        <f t="shared" si="20"/>
        <v>14057.123099999997</v>
      </c>
      <c r="O44" s="16">
        <f t="shared" si="4"/>
        <v>12570</v>
      </c>
      <c r="P44" s="16">
        <f t="shared" si="21"/>
        <v>11396.41282642089</v>
      </c>
      <c r="Q44" s="27">
        <f t="shared" si="37"/>
        <v>-7.505518763796909E-2</v>
      </c>
      <c r="R44" s="27">
        <f t="shared" si="43"/>
        <v>7.6414125771492314E-2</v>
      </c>
      <c r="S44" s="86">
        <f t="shared" si="42"/>
        <v>952.80000000000007</v>
      </c>
      <c r="T44" s="27">
        <f t="shared" si="38"/>
        <v>-2.3133014835302917E-2</v>
      </c>
      <c r="U44" s="27">
        <f t="shared" si="45"/>
        <v>7.9813004674883212E-2</v>
      </c>
      <c r="V44" s="25">
        <f t="shared" si="5"/>
        <v>0.44937794937794939</v>
      </c>
      <c r="W44" s="134">
        <f t="shared" si="6"/>
        <v>0.61542929559615589</v>
      </c>
      <c r="X44" s="26">
        <f t="shared" si="7"/>
        <v>6.0268602492707504E-2</v>
      </c>
      <c r="Y44" s="33">
        <f t="shared" si="22"/>
        <v>256900.94999999998</v>
      </c>
      <c r="Z44" s="29">
        <f t="shared" si="23"/>
        <v>6.2374280719644543E-2</v>
      </c>
      <c r="AA44" s="17">
        <v>40087</v>
      </c>
      <c r="AB44" s="39">
        <v>30</v>
      </c>
      <c r="AC44" s="131">
        <v>9890</v>
      </c>
      <c r="AD44" s="139">
        <v>4641.0800863930881</v>
      </c>
      <c r="AE44" s="131">
        <f t="shared" si="8"/>
        <v>5</v>
      </c>
      <c r="AF44" s="131">
        <f t="shared" si="9"/>
        <v>69</v>
      </c>
      <c r="AG44" s="3">
        <f t="shared" si="24"/>
        <v>196780</v>
      </c>
      <c r="AH44" s="3">
        <f t="shared" si="10"/>
        <v>989</v>
      </c>
      <c r="AI44" s="3">
        <f t="shared" si="25"/>
        <v>19678</v>
      </c>
      <c r="AJ44" s="37">
        <f t="shared" si="11"/>
        <v>329.66666666666669</v>
      </c>
      <c r="AK44" s="37">
        <f t="shared" si="26"/>
        <v>359</v>
      </c>
      <c r="AL44" s="16">
        <f t="shared" si="27"/>
        <v>548.133704735376</v>
      </c>
      <c r="AM44" s="27">
        <f t="shared" si="39"/>
        <v>0.40682788051209107</v>
      </c>
      <c r="AN44" s="27">
        <f t="shared" si="44"/>
        <v>0.15636022786989237</v>
      </c>
      <c r="AO44" s="41">
        <f t="shared" si="12"/>
        <v>0.46926997840172779</v>
      </c>
      <c r="AP44" s="5">
        <f t="shared" si="40"/>
        <v>92342.946349892009</v>
      </c>
      <c r="AQ44" s="4">
        <f t="shared" si="28"/>
        <v>0.46926997840172785</v>
      </c>
      <c r="AR44">
        <f t="shared" si="29"/>
        <v>2974</v>
      </c>
      <c r="AS44" s="6">
        <f t="shared" si="13"/>
        <v>1978</v>
      </c>
      <c r="AT44" s="39"/>
      <c r="AU44" s="32">
        <f t="shared" si="30"/>
        <v>0</v>
      </c>
      <c r="AV44" s="30">
        <f t="shared" ref="AV44:AV74" si="46">+H44+AD44</f>
        <v>27368.37008639309</v>
      </c>
      <c r="AW44" s="33">
        <f t="shared" si="31"/>
        <v>349243.89634989202</v>
      </c>
      <c r="AX44" s="16">
        <f t="shared" ref="AX44:AX74" si="47">+M44+AH44</f>
        <v>2276.0423000000001</v>
      </c>
      <c r="AY44" s="16">
        <f t="shared" si="32"/>
        <v>33735.123099999997</v>
      </c>
      <c r="AZ44" s="16">
        <f t="shared" si="33"/>
        <v>32223.074930543447</v>
      </c>
      <c r="BA44" s="16">
        <f t="shared" si="34"/>
        <v>45107.783717369181</v>
      </c>
      <c r="BB44" s="34">
        <f t="shared" si="15"/>
        <v>77330.858647912624</v>
      </c>
      <c r="BC44" s="14">
        <f t="shared" si="35"/>
        <v>26.002306203064098</v>
      </c>
      <c r="BD44" s="35">
        <f t="shared" si="16"/>
        <v>0.8005700854335922</v>
      </c>
      <c r="BE44" s="31">
        <f t="shared" si="17"/>
        <v>9.4412759831653847</v>
      </c>
      <c r="BF44" s="36">
        <f t="shared" si="36"/>
        <v>0.45107783717369176</v>
      </c>
    </row>
    <row r="45" spans="1:79" s="18" customFormat="1" x14ac:dyDescent="0.2">
      <c r="A45" s="18" t="s">
        <v>15</v>
      </c>
      <c r="B45" s="32"/>
      <c r="C45" s="17"/>
      <c r="D45" s="131">
        <v>31</v>
      </c>
      <c r="E45" s="137">
        <v>264900</v>
      </c>
      <c r="F45" s="136">
        <v>932</v>
      </c>
      <c r="G45" s="136">
        <v>609.5</v>
      </c>
      <c r="H45" s="140">
        <v>13299.74</v>
      </c>
      <c r="I45" s="11">
        <v>209</v>
      </c>
      <c r="J45" s="11">
        <v>54</v>
      </c>
      <c r="K45" s="24">
        <f t="shared" si="18"/>
        <v>4061400</v>
      </c>
      <c r="L45" s="24">
        <f t="shared" si="19"/>
        <v>3072</v>
      </c>
      <c r="M45" s="16">
        <f t="shared" si="3"/>
        <v>904.1037</v>
      </c>
      <c r="N45" s="16">
        <f t="shared" si="20"/>
        <v>13861.558199999998</v>
      </c>
      <c r="O45" s="16">
        <f t="shared" si="4"/>
        <v>8545.1612903225814</v>
      </c>
      <c r="P45" s="16">
        <f t="shared" si="21"/>
        <v>11242.380568356375</v>
      </c>
      <c r="Q45" s="27">
        <f t="shared" si="37"/>
        <v>-0.17783985102420852</v>
      </c>
      <c r="R45" s="27">
        <f t="shared" si="43"/>
        <v>4.9395841877390399E-2</v>
      </c>
      <c r="S45" s="86">
        <f t="shared" si="42"/>
        <v>952.04166666666663</v>
      </c>
      <c r="T45" s="27">
        <f t="shared" si="38"/>
        <v>-9.6695356497715681E-3</v>
      </c>
      <c r="U45" s="27">
        <f t="shared" si="45"/>
        <v>6.1095786081157573E-2</v>
      </c>
      <c r="V45" s="25">
        <f t="shared" si="5"/>
        <v>0.38202616641284787</v>
      </c>
      <c r="W45" s="134">
        <f t="shared" si="6"/>
        <v>0.6046059033409017</v>
      </c>
      <c r="X45" s="26">
        <f t="shared" si="7"/>
        <v>5.0206644016610041E-2</v>
      </c>
      <c r="Y45" s="33">
        <f t="shared" si="22"/>
        <v>241887.91999999995</v>
      </c>
      <c r="Z45" s="29">
        <f t="shared" si="23"/>
        <v>5.9557768257251183E-2</v>
      </c>
      <c r="AA45" s="17">
        <v>40118</v>
      </c>
      <c r="AB45" s="39">
        <v>31</v>
      </c>
      <c r="AC45" s="131">
        <v>15640</v>
      </c>
      <c r="AD45" s="139">
        <v>7339.3824622030234</v>
      </c>
      <c r="AE45" s="131">
        <f t="shared" si="8"/>
        <v>209</v>
      </c>
      <c r="AF45" s="131">
        <f t="shared" si="9"/>
        <v>54</v>
      </c>
      <c r="AG45" s="3">
        <f t="shared" si="24"/>
        <v>199190</v>
      </c>
      <c r="AH45" s="3">
        <f t="shared" si="10"/>
        <v>1564</v>
      </c>
      <c r="AI45" s="3">
        <f t="shared" si="25"/>
        <v>19919</v>
      </c>
      <c r="AJ45" s="37">
        <f t="shared" si="11"/>
        <v>504.51612903225805</v>
      </c>
      <c r="AK45" s="37">
        <f t="shared" si="26"/>
        <v>359</v>
      </c>
      <c r="AL45" s="16">
        <f t="shared" si="27"/>
        <v>554.84679665738156</v>
      </c>
      <c r="AM45" s="27">
        <f t="shared" si="39"/>
        <v>0.18216175359032505</v>
      </c>
      <c r="AN45" s="27">
        <f t="shared" si="44"/>
        <v>0.10312307880168212</v>
      </c>
      <c r="AO45" s="41">
        <f t="shared" si="12"/>
        <v>0.46926997840172785</v>
      </c>
      <c r="AP45" s="5">
        <f t="shared" si="40"/>
        <v>93473.886997840178</v>
      </c>
      <c r="AQ45" s="4">
        <f t="shared" si="28"/>
        <v>0.46926997840172791</v>
      </c>
      <c r="AR45">
        <f t="shared" si="29"/>
        <v>3072</v>
      </c>
      <c r="AS45" s="6">
        <f t="shared" si="13"/>
        <v>74.832535885167459</v>
      </c>
      <c r="AT45" s="39"/>
      <c r="AU45" s="32">
        <f t="shared" si="30"/>
        <v>0</v>
      </c>
      <c r="AV45" s="30">
        <f t="shared" si="46"/>
        <v>20639.122462203024</v>
      </c>
      <c r="AW45" s="33">
        <f t="shared" si="31"/>
        <v>335361.80699784018</v>
      </c>
      <c r="AX45" s="16">
        <f t="shared" si="47"/>
        <v>2468.1037000000001</v>
      </c>
      <c r="AY45" s="16">
        <f t="shared" si="32"/>
        <v>33780.558199999999</v>
      </c>
      <c r="AZ45" s="16">
        <f t="shared" si="33"/>
        <v>31774.78246119144</v>
      </c>
      <c r="BA45" s="16">
        <f t="shared" si="34"/>
        <v>45660.226845526813</v>
      </c>
      <c r="BB45" s="34">
        <f t="shared" si="15"/>
        <v>77435.009306718261</v>
      </c>
      <c r="BC45" s="14">
        <f t="shared" si="35"/>
        <v>25.206708758697349</v>
      </c>
      <c r="BD45" s="35">
        <f t="shared" si="16"/>
        <v>0.76874823951238336</v>
      </c>
      <c r="BE45" s="31">
        <f t="shared" si="17"/>
        <v>9.3099274717818474</v>
      </c>
      <c r="BF45" s="36">
        <f t="shared" si="36"/>
        <v>0.45660226845526813</v>
      </c>
    </row>
    <row r="46" spans="1:79" s="18" customFormat="1" x14ac:dyDescent="0.2">
      <c r="A46" s="18" t="s">
        <v>16</v>
      </c>
      <c r="B46" s="32"/>
      <c r="C46" s="17"/>
      <c r="D46" s="131">
        <v>30</v>
      </c>
      <c r="E46" s="137">
        <v>368100</v>
      </c>
      <c r="F46" s="136">
        <v>862.1</v>
      </c>
      <c r="G46" s="136">
        <v>471</v>
      </c>
      <c r="H46" s="140">
        <v>17429.93</v>
      </c>
      <c r="I46" s="11">
        <v>238</v>
      </c>
      <c r="J46" s="11">
        <v>52</v>
      </c>
      <c r="K46" s="24">
        <f t="shared" si="18"/>
        <v>4118100</v>
      </c>
      <c r="L46" s="24">
        <f t="shared" si="19"/>
        <v>2923</v>
      </c>
      <c r="M46" s="16">
        <f t="shared" si="3"/>
        <v>1256.3253</v>
      </c>
      <c r="N46" s="16">
        <f t="shared" si="20"/>
        <v>14055.075299999999</v>
      </c>
      <c r="O46" s="16">
        <f t="shared" si="4"/>
        <v>12270</v>
      </c>
      <c r="P46" s="16">
        <f t="shared" si="21"/>
        <v>11523.451996927804</v>
      </c>
      <c r="Q46" s="27">
        <f t="shared" si="37"/>
        <v>0.37909441233140662</v>
      </c>
      <c r="R46" s="27">
        <f t="shared" si="43"/>
        <v>8.6132198503535401E-2</v>
      </c>
      <c r="S46" s="86">
        <f t="shared" si="42"/>
        <v>943.9083333333333</v>
      </c>
      <c r="T46" s="27">
        <f t="shared" si="38"/>
        <v>-0.10169844743148902</v>
      </c>
      <c r="U46" s="27">
        <f t="shared" si="45"/>
        <v>3.34857069863774E-2</v>
      </c>
      <c r="V46" s="25">
        <f t="shared" si="5"/>
        <v>0.59302865096856516</v>
      </c>
      <c r="W46" s="134">
        <f t="shared" si="6"/>
        <v>0.64668817042982529</v>
      </c>
      <c r="X46" s="26">
        <f t="shared" si="7"/>
        <v>4.7351073077967945E-2</v>
      </c>
      <c r="Y46" s="33">
        <f t="shared" si="22"/>
        <v>237521.69999999998</v>
      </c>
      <c r="Z46" s="29">
        <f t="shared" si="23"/>
        <v>5.7677496903911996E-2</v>
      </c>
      <c r="AA46" s="17">
        <v>40148</v>
      </c>
      <c r="AB46" s="39">
        <v>30</v>
      </c>
      <c r="AC46" s="131">
        <v>15490</v>
      </c>
      <c r="AD46" s="139">
        <v>7268.991965442764</v>
      </c>
      <c r="AE46" s="131">
        <f t="shared" si="8"/>
        <v>238</v>
      </c>
      <c r="AF46" s="131">
        <f t="shared" si="9"/>
        <v>52</v>
      </c>
      <c r="AG46" s="3">
        <f t="shared" si="24"/>
        <v>190560</v>
      </c>
      <c r="AH46" s="3">
        <f t="shared" si="10"/>
        <v>1549</v>
      </c>
      <c r="AI46" s="3">
        <f t="shared" si="25"/>
        <v>19056</v>
      </c>
      <c r="AJ46" s="37">
        <f t="shared" si="11"/>
        <v>516.33333333333337</v>
      </c>
      <c r="AK46" s="37">
        <f t="shared" si="26"/>
        <v>359</v>
      </c>
      <c r="AL46" s="16">
        <f t="shared" si="27"/>
        <v>530.80779944289691</v>
      </c>
      <c r="AM46" s="27">
        <f t="shared" si="39"/>
        <v>-0.35779436152570476</v>
      </c>
      <c r="AN46" s="27">
        <f t="shared" si="44"/>
        <v>1.6274210976504509E-3</v>
      </c>
      <c r="AO46" s="41">
        <f t="shared" si="12"/>
        <v>0.46926997840172785</v>
      </c>
      <c r="AP46" s="5">
        <f t="shared" si="40"/>
        <v>89424.087084233266</v>
      </c>
      <c r="AQ46" s="4">
        <f t="shared" si="28"/>
        <v>0.46926997840172791</v>
      </c>
      <c r="AR46">
        <f t="shared" si="29"/>
        <v>2923</v>
      </c>
      <c r="AS46" s="6">
        <f t="shared" si="13"/>
        <v>65.084033613445385</v>
      </c>
      <c r="AT46" s="39"/>
      <c r="AU46" s="32">
        <f t="shared" si="30"/>
        <v>0</v>
      </c>
      <c r="AV46" s="30">
        <f t="shared" si="46"/>
        <v>24698.921965442765</v>
      </c>
      <c r="AW46" s="33">
        <f t="shared" si="31"/>
        <v>326945.78708423325</v>
      </c>
      <c r="AX46" s="16">
        <f t="shared" si="47"/>
        <v>2805.3253</v>
      </c>
      <c r="AY46" s="16">
        <f t="shared" si="32"/>
        <v>33111.075299999997</v>
      </c>
      <c r="AZ46" s="16">
        <f t="shared" si="33"/>
        <v>32218.38076856071</v>
      </c>
      <c r="BA46" s="16">
        <f t="shared" si="34"/>
        <v>43681.976141792205</v>
      </c>
      <c r="BB46" s="34">
        <f t="shared" si="15"/>
        <v>75900.356910352915</v>
      </c>
      <c r="BC46" s="14">
        <f t="shared" si="35"/>
        <v>25.966594906039315</v>
      </c>
      <c r="BD46" s="35">
        <f t="shared" si="16"/>
        <v>0.74945623798661587</v>
      </c>
      <c r="BE46" s="31">
        <f t="shared" si="17"/>
        <v>9.4399006060828352</v>
      </c>
      <c r="BF46" s="36">
        <f t="shared" si="36"/>
        <v>0.43681976141792206</v>
      </c>
    </row>
    <row r="47" spans="1:79" s="18" customFormat="1" x14ac:dyDescent="0.2">
      <c r="A47" s="18" t="s">
        <v>17</v>
      </c>
      <c r="B47" s="32"/>
      <c r="C47" s="17"/>
      <c r="D47" s="131">
        <v>31</v>
      </c>
      <c r="E47" s="137">
        <v>359100</v>
      </c>
      <c r="F47" s="136">
        <v>789.2</v>
      </c>
      <c r="G47" s="136">
        <v>437.3</v>
      </c>
      <c r="H47" s="140">
        <v>16176.89</v>
      </c>
      <c r="I47" s="11">
        <v>840</v>
      </c>
      <c r="J47" s="11">
        <v>32</v>
      </c>
      <c r="K47" s="24">
        <f t="shared" si="18"/>
        <v>4128900</v>
      </c>
      <c r="L47" s="24">
        <f t="shared" si="19"/>
        <v>3050</v>
      </c>
      <c r="M47" s="16">
        <f t="shared" si="3"/>
        <v>1225.6082999999999</v>
      </c>
      <c r="N47" s="16">
        <f t="shared" si="20"/>
        <v>14091.935699999998</v>
      </c>
      <c r="O47" s="16">
        <f t="shared" si="4"/>
        <v>11583.870967741936</v>
      </c>
      <c r="P47" s="16">
        <f t="shared" si="21"/>
        <v>11327.774577572964</v>
      </c>
      <c r="Q47" s="27">
        <f t="shared" si="37"/>
        <v>-0.16854213553388347</v>
      </c>
      <c r="R47" s="27">
        <f t="shared" si="43"/>
        <v>3.2251845027749859E-2</v>
      </c>
      <c r="S47" s="86">
        <f t="shared" si="42"/>
        <v>945.85</v>
      </c>
      <c r="T47" s="27">
        <f t="shared" si="38"/>
        <v>3.0421726073900077E-2</v>
      </c>
      <c r="U47" s="27">
        <f t="shared" si="45"/>
        <v>2.9720755538620601E-2</v>
      </c>
      <c r="V47" s="25">
        <f t="shared" si="5"/>
        <v>0.61158298317610316</v>
      </c>
      <c r="W47" s="134">
        <f t="shared" si="6"/>
        <v>0.64345699143905422</v>
      </c>
      <c r="X47" s="26">
        <f t="shared" si="7"/>
        <v>4.5048426622110831E-2</v>
      </c>
      <c r="Y47" s="33">
        <f t="shared" si="22"/>
        <v>230327.28999999998</v>
      </c>
      <c r="Z47" s="29">
        <f t="shared" si="23"/>
        <v>5.5784177383806817E-2</v>
      </c>
      <c r="AA47" s="17">
        <v>40179</v>
      </c>
      <c r="AB47" s="39">
        <v>31</v>
      </c>
      <c r="AC47" s="131">
        <v>36650</v>
      </c>
      <c r="AD47" s="139">
        <v>17198.744708423324</v>
      </c>
      <c r="AE47" s="131">
        <f t="shared" si="8"/>
        <v>840</v>
      </c>
      <c r="AF47" s="131">
        <f t="shared" si="9"/>
        <v>32</v>
      </c>
      <c r="AG47" s="3">
        <f t="shared" si="24"/>
        <v>193180</v>
      </c>
      <c r="AH47" s="3">
        <f t="shared" si="10"/>
        <v>3665</v>
      </c>
      <c r="AI47" s="3">
        <f t="shared" si="25"/>
        <v>19318</v>
      </c>
      <c r="AJ47" s="37">
        <f t="shared" si="11"/>
        <v>1182.258064516129</v>
      </c>
      <c r="AK47" s="37">
        <f t="shared" si="26"/>
        <v>365</v>
      </c>
      <c r="AL47" s="16">
        <f t="shared" si="27"/>
        <v>529.2602739726027</v>
      </c>
      <c r="AM47" s="27">
        <f t="shared" si="39"/>
        <v>-0.13145895936223259</v>
      </c>
      <c r="AN47" s="27">
        <f t="shared" si="44"/>
        <v>-4.5613611349744648E-2</v>
      </c>
      <c r="AO47" s="41">
        <f t="shared" si="12"/>
        <v>0.46926997840172779</v>
      </c>
      <c r="AP47" s="5">
        <f t="shared" si="40"/>
        <v>90653.574427645799</v>
      </c>
      <c r="AQ47" s="4">
        <f t="shared" si="28"/>
        <v>0.46926997840172791</v>
      </c>
      <c r="AR47">
        <f t="shared" si="29"/>
        <v>3050</v>
      </c>
      <c r="AS47" s="6">
        <f t="shared" si="13"/>
        <v>43.63095238095238</v>
      </c>
      <c r="AT47" s="39"/>
      <c r="AU47" s="32">
        <f t="shared" si="30"/>
        <v>0</v>
      </c>
      <c r="AV47" s="30">
        <f t="shared" si="46"/>
        <v>33375.634708423328</v>
      </c>
      <c r="AW47" s="33">
        <f t="shared" si="31"/>
        <v>320980.86442764575</v>
      </c>
      <c r="AX47" s="16">
        <f t="shared" si="47"/>
        <v>4890.6082999999999</v>
      </c>
      <c r="AY47" s="16">
        <f t="shared" si="32"/>
        <v>33409.935700000002</v>
      </c>
      <c r="AZ47" s="16">
        <f t="shared" si="33"/>
        <v>32302.875684250095</v>
      </c>
      <c r="BA47" s="16">
        <f t="shared" si="34"/>
        <v>44282.557467839099</v>
      </c>
      <c r="BB47" s="34">
        <f t="shared" si="15"/>
        <v>76585.433152089201</v>
      </c>
      <c r="BC47" s="14">
        <f t="shared" si="35"/>
        <v>25.109978082652198</v>
      </c>
      <c r="BD47" s="35">
        <f t="shared" si="16"/>
        <v>0.73578287478485838</v>
      </c>
      <c r="BE47" s="31">
        <f t="shared" si="17"/>
        <v>9.4646573935687375</v>
      </c>
      <c r="BF47" s="36">
        <f t="shared" si="36"/>
        <v>0.44282557467839101</v>
      </c>
    </row>
    <row r="48" spans="1:79" x14ac:dyDescent="0.2">
      <c r="A48" s="21" t="str">
        <f>IF(B48=2010,$BM$35,IF(B48=2011,$BN$35,IF(B48=2012,$BO$35,IF(B48=2013,$BP$35,IF(B48=2014,$BQ$35,IF(B48=2015,$BR$35,IF(B48=2016,$BS$35,"")))))))</f>
        <v>JAN 10</v>
      </c>
      <c r="B48" s="37">
        <f>B36+1</f>
        <v>2010</v>
      </c>
      <c r="C48" s="17"/>
      <c r="D48" s="131">
        <v>31</v>
      </c>
      <c r="E48" s="137">
        <v>356100</v>
      </c>
      <c r="F48" s="136">
        <v>763</v>
      </c>
      <c r="G48" s="136">
        <v>475.4</v>
      </c>
      <c r="H48" s="140">
        <v>16004.78</v>
      </c>
      <c r="I48" s="11">
        <v>902</v>
      </c>
      <c r="J48" s="11">
        <v>30</v>
      </c>
      <c r="K48" s="24">
        <f t="shared" si="18"/>
        <v>4186200</v>
      </c>
      <c r="L48" s="24">
        <f t="shared" si="19"/>
        <v>3144</v>
      </c>
      <c r="M48" s="16">
        <f t="shared" si="3"/>
        <v>1215.3692999999998</v>
      </c>
      <c r="N48" s="16">
        <f t="shared" si="20"/>
        <v>14287.500599999999</v>
      </c>
      <c r="O48" s="16">
        <f t="shared" si="4"/>
        <v>11487.096774193549</v>
      </c>
      <c r="P48" s="16">
        <f t="shared" si="21"/>
        <v>11481.806835637481</v>
      </c>
      <c r="Q48" s="27">
        <f t="shared" si="37"/>
        <v>0.19176706827309253</v>
      </c>
      <c r="R48" s="27">
        <f t="shared" si="43"/>
        <v>3.4579574572816872E-2</v>
      </c>
      <c r="S48" s="86">
        <f t="shared" si="42"/>
        <v>945.25833333333355</v>
      </c>
      <c r="T48" s="27">
        <f t="shared" si="38"/>
        <v>-9.2195818724841224E-3</v>
      </c>
      <c r="U48" s="27">
        <f t="shared" si="45"/>
        <v>2.2868479192028609E-2</v>
      </c>
      <c r="V48" s="25">
        <f t="shared" si="5"/>
        <v>0.62729886272354463</v>
      </c>
      <c r="W48" s="134">
        <f t="shared" si="6"/>
        <v>0.61611757105943143</v>
      </c>
      <c r="X48" s="26">
        <f t="shared" si="7"/>
        <v>4.4944622297107557E-2</v>
      </c>
      <c r="Y48" s="33">
        <f t="shared" si="22"/>
        <v>226108.49999999997</v>
      </c>
      <c r="Z48" s="29">
        <f t="shared" si="23"/>
        <v>5.4012827862978348E-2</v>
      </c>
      <c r="AA48" s="17">
        <v>40210</v>
      </c>
      <c r="AB48" s="39">
        <v>31</v>
      </c>
      <c r="AC48" s="131">
        <v>37760</v>
      </c>
      <c r="AD48" s="139">
        <v>17719.634384449244</v>
      </c>
      <c r="AE48" s="131">
        <f t="shared" si="8"/>
        <v>902</v>
      </c>
      <c r="AF48" s="131">
        <f t="shared" si="9"/>
        <v>30</v>
      </c>
      <c r="AG48" s="3">
        <f t="shared" si="24"/>
        <v>198500</v>
      </c>
      <c r="AH48" s="3">
        <f t="shared" si="10"/>
        <v>3776</v>
      </c>
      <c r="AI48" s="3">
        <f t="shared" si="25"/>
        <v>19850</v>
      </c>
      <c r="AJ48" s="37">
        <f t="shared" si="11"/>
        <v>1218.0645161290322</v>
      </c>
      <c r="AK48" s="37">
        <f t="shared" si="26"/>
        <v>365</v>
      </c>
      <c r="AL48" s="16">
        <f t="shared" si="27"/>
        <v>543.83561643835617</v>
      </c>
      <c r="AM48" s="27">
        <f t="shared" si="39"/>
        <v>0.16399506781750914</v>
      </c>
      <c r="AN48" s="27">
        <f t="shared" si="44"/>
        <v>-1.5187012485874051E-2</v>
      </c>
      <c r="AO48" s="41">
        <f t="shared" si="12"/>
        <v>0.46926997840172785</v>
      </c>
      <c r="AP48" s="5">
        <f t="shared" si="40"/>
        <v>93150.090712742967</v>
      </c>
      <c r="AQ48" s="4">
        <f t="shared" si="28"/>
        <v>0.46926997840172779</v>
      </c>
      <c r="AR48">
        <f t="shared" si="29"/>
        <v>3144</v>
      </c>
      <c r="AS48" s="6">
        <f t="shared" si="13"/>
        <v>41.86252771618625</v>
      </c>
      <c r="AT48" s="39"/>
      <c r="AU48" s="1">
        <f t="shared" si="30"/>
        <v>0</v>
      </c>
      <c r="AV48" s="5">
        <f t="shared" si="46"/>
        <v>33724.414384449243</v>
      </c>
      <c r="AW48" s="9">
        <f t="shared" si="31"/>
        <v>319258.590712743</v>
      </c>
      <c r="AX48" s="3">
        <f t="shared" si="47"/>
        <v>4991.3693000000003</v>
      </c>
      <c r="AY48" s="3">
        <f t="shared" si="32"/>
        <v>34137.500599999999</v>
      </c>
      <c r="AZ48" s="3">
        <f t="shared" si="33"/>
        <v>32751.168153602113</v>
      </c>
      <c r="BA48" s="3">
        <f t="shared" si="34"/>
        <v>45502.058481033549</v>
      </c>
      <c r="BB48" s="10">
        <f t="shared" si="15"/>
        <v>78253.226634635663</v>
      </c>
      <c r="BC48" s="14">
        <f t="shared" si="35"/>
        <v>24.889703128064777</v>
      </c>
      <c r="BD48" s="2">
        <f t="shared" si="16"/>
        <v>0.73183491512259879</v>
      </c>
      <c r="BE48" s="6">
        <f t="shared" si="17"/>
        <v>9.5960059049522748</v>
      </c>
      <c r="BF48" s="15">
        <f t="shared" si="36"/>
        <v>0.45502058481033553</v>
      </c>
    </row>
    <row r="49" spans="1:58" x14ac:dyDescent="0.2">
      <c r="A49" s="18" t="s">
        <v>7</v>
      </c>
      <c r="B49" s="1"/>
      <c r="C49" s="17"/>
      <c r="D49" s="131">
        <v>28</v>
      </c>
      <c r="E49" s="137">
        <v>345900</v>
      </c>
      <c r="F49" s="136">
        <v>766.7</v>
      </c>
      <c r="G49" s="136">
        <v>441.3</v>
      </c>
      <c r="H49" s="140">
        <v>15647.45</v>
      </c>
      <c r="I49" s="11">
        <v>700</v>
      </c>
      <c r="J49" s="11">
        <v>35</v>
      </c>
      <c r="K49" s="24">
        <f t="shared" si="18"/>
        <v>4179000</v>
      </c>
      <c r="L49" s="24">
        <f t="shared" si="19"/>
        <v>3392</v>
      </c>
      <c r="M49" s="16">
        <f t="shared" si="3"/>
        <v>1180.5566999999999</v>
      </c>
      <c r="N49" s="16">
        <f t="shared" si="20"/>
        <v>14262.927</v>
      </c>
      <c r="O49" s="16">
        <f t="shared" si="4"/>
        <v>12353.571428571429</v>
      </c>
      <c r="P49" s="16">
        <f t="shared" si="21"/>
        <v>11460.378264208908</v>
      </c>
      <c r="Q49" s="27">
        <f t="shared" si="37"/>
        <v>-2.0390824129141866E-2</v>
      </c>
      <c r="R49" s="27">
        <f t="shared" si="43"/>
        <v>3.2325113992115698E-2</v>
      </c>
      <c r="S49" s="86">
        <f t="shared" si="42"/>
        <v>934.42500000000018</v>
      </c>
      <c r="T49" s="27">
        <f t="shared" si="38"/>
        <v>-0.14497602319616371</v>
      </c>
      <c r="U49" s="27">
        <f t="shared" si="45"/>
        <v>4.8661146359823384E-3</v>
      </c>
      <c r="V49" s="25">
        <f t="shared" si="5"/>
        <v>0.67136056196314442</v>
      </c>
      <c r="W49" s="134">
        <f t="shared" si="6"/>
        <v>0.63468543046357617</v>
      </c>
      <c r="X49" s="26">
        <f t="shared" si="7"/>
        <v>4.5236918184446376E-2</v>
      </c>
      <c r="Y49" s="33">
        <f t="shared" si="22"/>
        <v>222156.25999999998</v>
      </c>
      <c r="Z49" s="29">
        <f t="shared" si="23"/>
        <v>5.3160148360851874E-2</v>
      </c>
      <c r="AA49" s="17">
        <v>40238</v>
      </c>
      <c r="AB49" s="39">
        <v>28</v>
      </c>
      <c r="AC49" s="131">
        <v>36360</v>
      </c>
      <c r="AD49" s="139">
        <v>17062.656414686826</v>
      </c>
      <c r="AE49" s="131">
        <f t="shared" si="8"/>
        <v>700</v>
      </c>
      <c r="AF49" s="131">
        <f t="shared" si="9"/>
        <v>35</v>
      </c>
      <c r="AG49" s="3">
        <f t="shared" si="24"/>
        <v>210720</v>
      </c>
      <c r="AH49" s="3">
        <f t="shared" si="10"/>
        <v>3636</v>
      </c>
      <c r="AI49" s="3">
        <f t="shared" si="25"/>
        <v>21072</v>
      </c>
      <c r="AJ49" s="37">
        <f t="shared" si="11"/>
        <v>1298.5714285714287</v>
      </c>
      <c r="AK49" s="37">
        <f t="shared" si="26"/>
        <v>365</v>
      </c>
      <c r="AL49" s="16">
        <f t="shared" si="27"/>
        <v>577.31506849315065</v>
      </c>
      <c r="AM49" s="27">
        <f t="shared" si="39"/>
        <v>0.50621375310687677</v>
      </c>
      <c r="AN49" s="27">
        <f t="shared" si="44"/>
        <v>6.9432970015691917E-2</v>
      </c>
      <c r="AO49" s="41">
        <f t="shared" si="12"/>
        <v>0.46926997840172791</v>
      </c>
      <c r="AP49" s="5">
        <f t="shared" si="40"/>
        <v>98884.569848812098</v>
      </c>
      <c r="AQ49" s="4">
        <f t="shared" si="28"/>
        <v>0.46926997840172785</v>
      </c>
      <c r="AR49">
        <f t="shared" si="29"/>
        <v>3392</v>
      </c>
      <c r="AS49" s="6">
        <f t="shared" si="13"/>
        <v>51.942857142857143</v>
      </c>
      <c r="AT49" s="39"/>
      <c r="AU49" s="1">
        <f t="shared" si="30"/>
        <v>0</v>
      </c>
      <c r="AV49" s="5">
        <f t="shared" si="46"/>
        <v>32710.106414686827</v>
      </c>
      <c r="AW49" s="9">
        <f t="shared" si="31"/>
        <v>321040.82984881214</v>
      </c>
      <c r="AX49" s="3">
        <f t="shared" si="47"/>
        <v>4816.5567000000001</v>
      </c>
      <c r="AY49" s="3">
        <f t="shared" si="32"/>
        <v>35334.927000000003</v>
      </c>
      <c r="AZ49" s="3">
        <f t="shared" si="33"/>
        <v>32694.83820980919</v>
      </c>
      <c r="BA49" s="3">
        <f t="shared" si="34"/>
        <v>48303.243139160651</v>
      </c>
      <c r="BB49" s="10">
        <f t="shared" si="15"/>
        <v>80998.081348969848</v>
      </c>
      <c r="BC49" s="14">
        <f t="shared" si="35"/>
        <v>23.879151341087809</v>
      </c>
      <c r="BD49" s="2">
        <f t="shared" si="16"/>
        <v>0.73592033322822126</v>
      </c>
      <c r="BE49" s="6">
        <f t="shared" si="17"/>
        <v>9.5795013799616733</v>
      </c>
      <c r="BF49" s="15">
        <f t="shared" si="36"/>
        <v>0.48303243139160651</v>
      </c>
    </row>
    <row r="50" spans="1:58" x14ac:dyDescent="0.2">
      <c r="A50" s="18" t="s">
        <v>8</v>
      </c>
      <c r="B50" s="1"/>
      <c r="C50" s="17">
        <v>40268</v>
      </c>
      <c r="D50" s="131">
        <f t="shared" ref="D50" si="48">C51-C50</f>
        <v>29</v>
      </c>
      <c r="E50" s="137">
        <v>363300</v>
      </c>
      <c r="F50" s="136">
        <v>865.7</v>
      </c>
      <c r="G50" s="136">
        <v>510.5</v>
      </c>
      <c r="H50" s="129">
        <v>23487.72</v>
      </c>
      <c r="I50" s="11">
        <v>346</v>
      </c>
      <c r="J50" s="11">
        <v>49</v>
      </c>
      <c r="K50" s="24">
        <f t="shared" si="18"/>
        <v>4247400</v>
      </c>
      <c r="L50" s="24">
        <f t="shared" si="19"/>
        <v>3417</v>
      </c>
      <c r="M50" s="16">
        <f t="shared" si="3"/>
        <v>1239.9429</v>
      </c>
      <c r="N50" s="16">
        <f t="shared" si="20"/>
        <v>14496.376199999999</v>
      </c>
      <c r="O50" s="16">
        <f t="shared" si="4"/>
        <v>12527.586206896553</v>
      </c>
      <c r="P50" s="16">
        <f t="shared" si="21"/>
        <v>11711.601845966419</v>
      </c>
      <c r="Q50" s="27">
        <f t="shared" si="37"/>
        <v>0.31690461991791508</v>
      </c>
      <c r="R50" s="27">
        <f t="shared" si="43"/>
        <v>5.1289050016808814E-2</v>
      </c>
      <c r="S50" s="86">
        <f t="shared" si="42"/>
        <v>924.64166666666688</v>
      </c>
      <c r="T50" s="27">
        <f t="shared" si="38"/>
        <v>-0.11941816702268332</v>
      </c>
      <c r="U50" s="27">
        <f t="shared" si="45"/>
        <v>-5.0127335987660629E-3</v>
      </c>
      <c r="V50" s="25">
        <f t="shared" si="5"/>
        <v>0.60296033108546798</v>
      </c>
      <c r="W50" s="134">
        <f t="shared" si="6"/>
        <v>0.62905101002761232</v>
      </c>
      <c r="X50" s="26">
        <f t="shared" si="7"/>
        <v>6.4651032204789433E-2</v>
      </c>
      <c r="Y50" s="33">
        <f t="shared" si="22"/>
        <v>228471.26</v>
      </c>
      <c r="Z50" s="29">
        <f t="shared" si="23"/>
        <v>5.3790850873475543E-2</v>
      </c>
      <c r="AA50" s="17">
        <v>40269</v>
      </c>
      <c r="AB50" s="39">
        <f t="shared" ref="AB50" si="49">AA51-AA50</f>
        <v>30</v>
      </c>
      <c r="AC50" s="130">
        <v>27780</v>
      </c>
      <c r="AD50" s="129">
        <v>13036.32</v>
      </c>
      <c r="AE50" s="131">
        <f t="shared" si="8"/>
        <v>346</v>
      </c>
      <c r="AF50" s="131">
        <f t="shared" si="9"/>
        <v>49</v>
      </c>
      <c r="AG50" s="3">
        <f t="shared" si="24"/>
        <v>221100</v>
      </c>
      <c r="AH50" s="3">
        <f t="shared" si="10"/>
        <v>2778</v>
      </c>
      <c r="AI50" s="3">
        <f t="shared" si="25"/>
        <v>22110</v>
      </c>
      <c r="AJ50" s="37">
        <f t="shared" si="11"/>
        <v>926</v>
      </c>
      <c r="AK50" s="37">
        <f t="shared" si="26"/>
        <v>364</v>
      </c>
      <c r="AL50" s="16">
        <f t="shared" si="27"/>
        <v>607.41758241758237</v>
      </c>
      <c r="AM50" s="27">
        <f t="shared" si="39"/>
        <v>0.6497701149425289</v>
      </c>
      <c r="AN50" s="27">
        <f t="shared" si="44"/>
        <v>0.13669157677185184</v>
      </c>
      <c r="AO50" s="41">
        <f t="shared" si="12"/>
        <v>0.46926997840172785</v>
      </c>
      <c r="AP50" s="5">
        <f t="shared" si="40"/>
        <v>103755.59222462203</v>
      </c>
      <c r="AQ50" s="4">
        <f t="shared" si="28"/>
        <v>0.46926997840172785</v>
      </c>
      <c r="AR50">
        <f t="shared" si="29"/>
        <v>3417</v>
      </c>
      <c r="AS50" s="6">
        <f t="shared" si="13"/>
        <v>80.289017341040463</v>
      </c>
      <c r="AT50" s="39"/>
      <c r="AU50" s="1">
        <f t="shared" si="30"/>
        <v>0</v>
      </c>
      <c r="AV50" s="5">
        <f t="shared" si="46"/>
        <v>36524.04</v>
      </c>
      <c r="AW50" s="9">
        <f t="shared" si="31"/>
        <v>332226.85222462204</v>
      </c>
      <c r="AX50" s="3">
        <f t="shared" si="47"/>
        <v>4017.9429</v>
      </c>
      <c r="AY50" s="3">
        <f t="shared" si="32"/>
        <v>36606.376200000006</v>
      </c>
      <c r="AZ50" s="3">
        <f t="shared" si="33"/>
        <v>33229.972675841957</v>
      </c>
      <c r="BA50" s="3">
        <f t="shared" si="34"/>
        <v>50682.645491972384</v>
      </c>
      <c r="BB50" s="10">
        <f t="shared" si="15"/>
        <v>83912.618167814362</v>
      </c>
      <c r="BC50" s="14">
        <f t="shared" si="35"/>
        <v>24.557394839863729</v>
      </c>
      <c r="BD50" s="2">
        <f t="shared" si="16"/>
        <v>0.7615619979291911</v>
      </c>
      <c r="BE50" s="6">
        <f t="shared" si="17"/>
        <v>9.7362943673723876</v>
      </c>
      <c r="BF50" s="15">
        <f t="shared" si="36"/>
        <v>0.50682645491972378</v>
      </c>
    </row>
    <row r="51" spans="1:58" x14ac:dyDescent="0.2">
      <c r="A51" s="18" t="s">
        <v>9</v>
      </c>
      <c r="B51" s="1"/>
      <c r="C51" s="17">
        <v>40297</v>
      </c>
      <c r="D51" s="131">
        <f>C51-C50</f>
        <v>29</v>
      </c>
      <c r="E51" s="137">
        <v>390600</v>
      </c>
      <c r="F51" s="136">
        <v>851.1</v>
      </c>
      <c r="G51" s="136">
        <v>453.4</v>
      </c>
      <c r="H51" s="129">
        <v>24946.959999999999</v>
      </c>
      <c r="I51" s="11">
        <v>50</v>
      </c>
      <c r="J51" s="11">
        <v>62</v>
      </c>
      <c r="K51" s="24">
        <f t="shared" si="18"/>
        <v>4325100</v>
      </c>
      <c r="L51" s="24">
        <f t="shared" si="19"/>
        <v>3310</v>
      </c>
      <c r="M51" s="16">
        <f t="shared" si="3"/>
        <v>1333.1178</v>
      </c>
      <c r="N51" s="16">
        <f t="shared" si="20"/>
        <v>14761.566299999999</v>
      </c>
      <c r="O51" s="16">
        <f t="shared" si="4"/>
        <v>13468.965517241379</v>
      </c>
      <c r="P51" s="16">
        <f t="shared" si="21"/>
        <v>11964.848972403199</v>
      </c>
      <c r="Q51" s="27">
        <f t="shared" si="37"/>
        <v>0.29136773894931722</v>
      </c>
      <c r="R51" s="27">
        <f t="shared" si="43"/>
        <v>6.699793669121458E-2</v>
      </c>
      <c r="S51" s="86">
        <f t="shared" si="42"/>
        <v>917.1166666666669</v>
      </c>
      <c r="T51" s="27">
        <f t="shared" si="38"/>
        <v>-9.5920968769917098E-2</v>
      </c>
      <c r="U51" s="27">
        <f t="shared" si="45"/>
        <v>-2.5406693056330146E-2</v>
      </c>
      <c r="V51" s="25">
        <f t="shared" si="5"/>
        <v>0.65939007936990257</v>
      </c>
      <c r="W51" s="134">
        <f t="shared" si="6"/>
        <v>0.65243388271368341</v>
      </c>
      <c r="X51" s="26">
        <f t="shared" si="7"/>
        <v>6.386830517153097E-2</v>
      </c>
      <c r="Y51" s="33">
        <f t="shared" si="22"/>
        <v>236485.85</v>
      </c>
      <c r="Z51" s="29">
        <f t="shared" si="23"/>
        <v>5.4677545027860631E-2</v>
      </c>
      <c r="AA51" s="17">
        <v>40299</v>
      </c>
      <c r="AB51" s="39">
        <f>AA51-AA50</f>
        <v>30</v>
      </c>
      <c r="AC51" s="130">
        <v>19970</v>
      </c>
      <c r="AD51" s="129">
        <v>9371.32</v>
      </c>
      <c r="AE51" s="131">
        <f t="shared" si="8"/>
        <v>50</v>
      </c>
      <c r="AF51" s="131">
        <f t="shared" si="9"/>
        <v>62</v>
      </c>
      <c r="AG51" s="3">
        <f t="shared" si="24"/>
        <v>229130</v>
      </c>
      <c r="AH51" s="3">
        <f t="shared" si="10"/>
        <v>1997</v>
      </c>
      <c r="AI51" s="3">
        <f t="shared" si="25"/>
        <v>22913</v>
      </c>
      <c r="AJ51" s="37">
        <f t="shared" si="11"/>
        <v>665.66666666666663</v>
      </c>
      <c r="AK51" s="37">
        <f t="shared" si="26"/>
        <v>364</v>
      </c>
      <c r="AL51" s="16">
        <f t="shared" si="27"/>
        <v>629.47802197802196</v>
      </c>
      <c r="AM51" s="27">
        <f t="shared" si="39"/>
        <v>0.67252931323283072</v>
      </c>
      <c r="AN51" s="27">
        <f t="shared" si="44"/>
        <v>0.1875695511593351</v>
      </c>
      <c r="AO51" s="41">
        <f t="shared" si="12"/>
        <v>0.46926990485728592</v>
      </c>
      <c r="AP51" s="5">
        <f t="shared" si="40"/>
        <v>107523.82868250541</v>
      </c>
      <c r="AQ51" s="4">
        <f t="shared" si="28"/>
        <v>0.46926997199190595</v>
      </c>
      <c r="AR51">
        <f t="shared" si="29"/>
        <v>3310</v>
      </c>
      <c r="AS51" s="6">
        <f t="shared" si="13"/>
        <v>399.4</v>
      </c>
      <c r="AT51" s="39"/>
      <c r="AU51" s="1">
        <f t="shared" si="30"/>
        <v>0</v>
      </c>
      <c r="AV51" s="5">
        <f t="shared" si="46"/>
        <v>34318.28</v>
      </c>
      <c r="AW51" s="9">
        <f t="shared" si="31"/>
        <v>344009.67868250539</v>
      </c>
      <c r="AX51" s="3">
        <f t="shared" si="47"/>
        <v>3330.1178</v>
      </c>
      <c r="AY51" s="3">
        <f t="shared" si="32"/>
        <v>37674.566300000006</v>
      </c>
      <c r="AZ51" s="3">
        <f t="shared" si="33"/>
        <v>33837.866652607256</v>
      </c>
      <c r="BA51" s="3">
        <f t="shared" si="34"/>
        <v>52523.358487451973</v>
      </c>
      <c r="BB51" s="10">
        <f t="shared" si="15"/>
        <v>86361.22514005925</v>
      </c>
      <c r="BC51" s="14">
        <f t="shared" si="35"/>
        <v>26.091004574036027</v>
      </c>
      <c r="BD51" s="2">
        <f t="shared" si="16"/>
        <v>0.78857171372558799</v>
      </c>
      <c r="BE51" s="6">
        <f t="shared" si="17"/>
        <v>9.9144056995626304</v>
      </c>
      <c r="BF51" s="15">
        <f t="shared" si="36"/>
        <v>0.52523358487451977</v>
      </c>
    </row>
    <row r="52" spans="1:58" x14ac:dyDescent="0.2">
      <c r="A52" s="18" t="s">
        <v>10</v>
      </c>
      <c r="B52" s="1"/>
      <c r="C52" s="17">
        <v>40330</v>
      </c>
      <c r="D52" s="131">
        <f t="shared" ref="D52:D61" si="50">C52-C51</f>
        <v>33</v>
      </c>
      <c r="E52" s="137">
        <v>460500</v>
      </c>
      <c r="F52" s="136">
        <v>1037.7</v>
      </c>
      <c r="G52" s="136">
        <v>681.5</v>
      </c>
      <c r="H52" s="129">
        <v>31984.35</v>
      </c>
      <c r="I52" s="11">
        <v>15</v>
      </c>
      <c r="J52" s="11">
        <v>67</v>
      </c>
      <c r="K52" s="24">
        <f t="shared" si="18"/>
        <v>4441500</v>
      </c>
      <c r="L52" s="24">
        <f t="shared" si="19"/>
        <v>3305</v>
      </c>
      <c r="M52" s="16">
        <f t="shared" si="3"/>
        <v>1571.6864999999998</v>
      </c>
      <c r="N52" s="16">
        <f t="shared" si="20"/>
        <v>15158.839499999998</v>
      </c>
      <c r="O52" s="16">
        <f t="shared" si="4"/>
        <v>13954.545454545454</v>
      </c>
      <c r="P52" s="16">
        <f t="shared" si="21"/>
        <v>12202.727760281987</v>
      </c>
      <c r="Q52" s="27">
        <f t="shared" si="37"/>
        <v>0.25716625716625713</v>
      </c>
      <c r="R52" s="27">
        <f t="shared" si="43"/>
        <v>7.8592779976968355E-2</v>
      </c>
      <c r="S52" s="86">
        <f t="shared" si="42"/>
        <v>922.34166666666681</v>
      </c>
      <c r="T52" s="27">
        <f t="shared" si="38"/>
        <v>6.4307692307692357E-2</v>
      </c>
      <c r="U52" s="27">
        <f t="shared" si="45"/>
        <v>-3.5333594805421038E-2</v>
      </c>
      <c r="V52" s="25">
        <f t="shared" si="5"/>
        <v>0.56031549960431148</v>
      </c>
      <c r="W52" s="134">
        <f t="shared" si="6"/>
        <v>0.6035946952070731</v>
      </c>
      <c r="X52" s="26">
        <f t="shared" si="7"/>
        <v>6.9455700325732894E-2</v>
      </c>
      <c r="Y52" s="33">
        <f t="shared" si="22"/>
        <v>248236.74000000005</v>
      </c>
      <c r="Z52" s="29">
        <f t="shared" si="23"/>
        <v>5.5890293819655532E-2</v>
      </c>
      <c r="AA52" s="17">
        <v>40330</v>
      </c>
      <c r="AB52" s="39">
        <f t="shared" ref="AB52:AB61" si="51">AA52-AA51</f>
        <v>31</v>
      </c>
      <c r="AC52" s="130">
        <v>17510</v>
      </c>
      <c r="AD52" s="129">
        <v>8216.92</v>
      </c>
      <c r="AE52" s="131">
        <f t="shared" si="8"/>
        <v>15</v>
      </c>
      <c r="AF52" s="131">
        <f t="shared" si="9"/>
        <v>67</v>
      </c>
      <c r="AG52" s="3">
        <f t="shared" si="24"/>
        <v>239430</v>
      </c>
      <c r="AH52" s="3">
        <f t="shared" si="10"/>
        <v>1751</v>
      </c>
      <c r="AI52" s="3">
        <f t="shared" si="25"/>
        <v>23943</v>
      </c>
      <c r="AJ52" s="37">
        <f t="shared" si="11"/>
        <v>564.83870967741939</v>
      </c>
      <c r="AK52" s="37">
        <f t="shared" si="26"/>
        <v>364</v>
      </c>
      <c r="AL52" s="16">
        <f t="shared" si="27"/>
        <v>657.77472527472526</v>
      </c>
      <c r="AM52" s="27">
        <f t="shared" si="39"/>
        <v>1.4285714285714284</v>
      </c>
      <c r="AN52" s="27">
        <f t="shared" si="44"/>
        <v>0.24783939110984129</v>
      </c>
      <c r="AO52" s="41">
        <f t="shared" si="12"/>
        <v>0.46927013135351231</v>
      </c>
      <c r="AP52" s="5">
        <f t="shared" si="40"/>
        <v>112357.31213822895</v>
      </c>
      <c r="AQ52" s="4">
        <f t="shared" si="28"/>
        <v>0.46926998345332227</v>
      </c>
      <c r="AR52">
        <f t="shared" si="29"/>
        <v>3305</v>
      </c>
      <c r="AS52" s="6">
        <f t="shared" si="13"/>
        <v>1167.3333333333333</v>
      </c>
      <c r="AT52" s="39"/>
      <c r="AU52" s="1">
        <f t="shared" si="30"/>
        <v>0</v>
      </c>
      <c r="AV52" s="5">
        <f t="shared" si="46"/>
        <v>40201.269999999997</v>
      </c>
      <c r="AW52" s="9">
        <f t="shared" si="31"/>
        <v>360594.0521382289</v>
      </c>
      <c r="AX52" s="3">
        <f t="shared" si="47"/>
        <v>3322.6864999999998</v>
      </c>
      <c r="AY52" s="3">
        <f t="shared" si="32"/>
        <v>39101.839500000002</v>
      </c>
      <c r="AZ52" s="3">
        <f t="shared" si="33"/>
        <v>34748.534077259508</v>
      </c>
      <c r="BA52" s="3">
        <f t="shared" si="34"/>
        <v>54884.42247916304</v>
      </c>
      <c r="BB52" s="10">
        <f t="shared" si="15"/>
        <v>89632.956556422549</v>
      </c>
      <c r="BC52" s="14">
        <f t="shared" si="35"/>
        <v>27.120410455801075</v>
      </c>
      <c r="BD52" s="2">
        <f t="shared" si="16"/>
        <v>0.82658799235801272</v>
      </c>
      <c r="BE52" s="6">
        <f t="shared" si="17"/>
        <v>10.181228853577355</v>
      </c>
      <c r="BF52" s="15">
        <f t="shared" si="36"/>
        <v>0.54884422479163042</v>
      </c>
    </row>
    <row r="53" spans="1:58" x14ac:dyDescent="0.2">
      <c r="A53" s="18" t="s">
        <v>11</v>
      </c>
      <c r="B53" s="1"/>
      <c r="C53" s="17">
        <v>40359</v>
      </c>
      <c r="D53" s="131">
        <f t="shared" si="50"/>
        <v>29</v>
      </c>
      <c r="E53" s="137">
        <v>404100</v>
      </c>
      <c r="F53" s="136">
        <v>900.5</v>
      </c>
      <c r="G53" s="136">
        <v>644.79999999999995</v>
      </c>
      <c r="H53" s="129">
        <v>28021.439999999999</v>
      </c>
      <c r="I53" s="11">
        <v>0</v>
      </c>
      <c r="J53" s="11">
        <v>79</v>
      </c>
      <c r="K53" s="24">
        <f t="shared" si="18"/>
        <v>4487700</v>
      </c>
      <c r="L53" s="24">
        <f t="shared" si="19"/>
        <v>3305</v>
      </c>
      <c r="M53" s="16">
        <f t="shared" si="3"/>
        <v>1379.1932999999999</v>
      </c>
      <c r="N53" s="16">
        <f t="shared" si="20"/>
        <v>15316.520099999998</v>
      </c>
      <c r="O53" s="16">
        <f t="shared" si="4"/>
        <v>13934.48275862069</v>
      </c>
      <c r="P53" s="16">
        <f t="shared" si="21"/>
        <v>12369.767990167044</v>
      </c>
      <c r="Q53" s="27">
        <f t="shared" si="37"/>
        <v>0.16802034858513748</v>
      </c>
      <c r="R53" s="27">
        <f t="shared" si="43"/>
        <v>8.3461497290797021E-2</v>
      </c>
      <c r="S53" s="86">
        <f t="shared" si="42"/>
        <v>909.86666666666667</v>
      </c>
      <c r="T53" s="27">
        <f t="shared" si="38"/>
        <v>-0.14254427728051802</v>
      </c>
      <c r="U53" s="27">
        <f t="shared" si="45"/>
        <v>-6.9443970954215256E-2</v>
      </c>
      <c r="V53" s="25">
        <f t="shared" si="5"/>
        <v>0.64475674433743702</v>
      </c>
      <c r="W53" s="134">
        <f t="shared" si="6"/>
        <v>0.58273474406264159</v>
      </c>
      <c r="X53" s="26">
        <f t="shared" si="7"/>
        <v>6.934283593170007E-2</v>
      </c>
      <c r="Y53" s="33">
        <f t="shared" si="22"/>
        <v>254861.68000000002</v>
      </c>
      <c r="Z53" s="29">
        <f t="shared" si="23"/>
        <v>5.6791158054237144E-2</v>
      </c>
      <c r="AA53" s="17">
        <v>40360</v>
      </c>
      <c r="AB53" s="39">
        <f t="shared" si="51"/>
        <v>30</v>
      </c>
      <c r="AC53" s="130">
        <v>8510</v>
      </c>
      <c r="AD53" s="129">
        <v>3993.49</v>
      </c>
      <c r="AE53" s="131">
        <f t="shared" si="8"/>
        <v>0</v>
      </c>
      <c r="AF53" s="131">
        <f t="shared" si="9"/>
        <v>79</v>
      </c>
      <c r="AG53" s="3">
        <f t="shared" si="24"/>
        <v>241590</v>
      </c>
      <c r="AH53" s="3">
        <f t="shared" si="10"/>
        <v>851</v>
      </c>
      <c r="AI53" s="3">
        <f t="shared" si="25"/>
        <v>24159</v>
      </c>
      <c r="AJ53" s="37">
        <f t="shared" si="11"/>
        <v>283.66666666666669</v>
      </c>
      <c r="AK53" s="37">
        <f t="shared" si="26"/>
        <v>364</v>
      </c>
      <c r="AL53" s="16">
        <f t="shared" si="27"/>
        <v>663.70879120879124</v>
      </c>
      <c r="AM53" s="27">
        <f t="shared" si="39"/>
        <v>0.34015748031496079</v>
      </c>
      <c r="AN53" s="27">
        <f t="shared" si="44"/>
        <v>0.25491892370546188</v>
      </c>
      <c r="AO53" s="41">
        <f t="shared" si="12"/>
        <v>0.46927027027027024</v>
      </c>
      <c r="AP53" s="5">
        <f t="shared" si="40"/>
        <v>113370.93777537797</v>
      </c>
      <c r="AQ53" s="4">
        <f t="shared" si="28"/>
        <v>0.46926999368921712</v>
      </c>
      <c r="AR53">
        <f t="shared" si="29"/>
        <v>3305</v>
      </c>
      <c r="AS53" s="6" t="e">
        <f t="shared" si="13"/>
        <v>#DIV/0!</v>
      </c>
      <c r="AT53" s="39"/>
      <c r="AU53" s="1">
        <f t="shared" si="30"/>
        <v>0</v>
      </c>
      <c r="AV53" s="5">
        <f t="shared" si="46"/>
        <v>32014.93</v>
      </c>
      <c r="AW53" s="9">
        <f t="shared" si="31"/>
        <v>368232.61777537799</v>
      </c>
      <c r="AX53" s="3">
        <f t="shared" si="47"/>
        <v>2230.1932999999999</v>
      </c>
      <c r="AY53" s="3">
        <f t="shared" si="32"/>
        <v>39475.520100000009</v>
      </c>
      <c r="AZ53" s="3">
        <f t="shared" si="33"/>
        <v>35109.98454993077</v>
      </c>
      <c r="BA53" s="3">
        <f t="shared" si="34"/>
        <v>55379.558228881084</v>
      </c>
      <c r="BB53" s="10">
        <f t="shared" si="15"/>
        <v>90489.542778811869</v>
      </c>
      <c r="BC53" s="14">
        <f t="shared" si="35"/>
        <v>27.379589343059568</v>
      </c>
      <c r="BD53" s="2">
        <f t="shared" si="16"/>
        <v>0.84409783922616244</v>
      </c>
      <c r="BE53" s="6">
        <f t="shared" si="17"/>
        <v>10.287132888933716</v>
      </c>
      <c r="BF53" s="15">
        <f t="shared" si="36"/>
        <v>0.55379558228881087</v>
      </c>
    </row>
    <row r="54" spans="1:58" x14ac:dyDescent="0.2">
      <c r="A54" s="18" t="s">
        <v>12</v>
      </c>
      <c r="B54" s="1"/>
      <c r="C54" s="17">
        <v>40389</v>
      </c>
      <c r="D54" s="131">
        <f t="shared" si="50"/>
        <v>30</v>
      </c>
      <c r="E54" s="137">
        <v>489000</v>
      </c>
      <c r="F54" s="136">
        <v>1017.7</v>
      </c>
      <c r="G54" s="136">
        <v>675.5</v>
      </c>
      <c r="H54" s="129">
        <v>33469.629999999997</v>
      </c>
      <c r="I54" s="11">
        <v>0</v>
      </c>
      <c r="J54" s="11">
        <v>82</v>
      </c>
      <c r="K54" s="24">
        <f t="shared" si="18"/>
        <v>4598700</v>
      </c>
      <c r="L54" s="24">
        <f t="shared" si="19"/>
        <v>3305</v>
      </c>
      <c r="M54" s="16">
        <f t="shared" si="3"/>
        <v>1668.9569999999999</v>
      </c>
      <c r="N54" s="16">
        <f t="shared" si="20"/>
        <v>15695.3631</v>
      </c>
      <c r="O54" s="16">
        <f t="shared" si="4"/>
        <v>16300</v>
      </c>
      <c r="P54" s="16">
        <f t="shared" si="21"/>
        <v>12711.972291242315</v>
      </c>
      <c r="Q54" s="27">
        <f t="shared" si="37"/>
        <v>0.33677248677248672</v>
      </c>
      <c r="R54" s="27">
        <f t="shared" si="43"/>
        <v>0.11651079047972618</v>
      </c>
      <c r="S54" s="86">
        <f t="shared" si="42"/>
        <v>927.42500000000007</v>
      </c>
      <c r="T54" s="27">
        <f t="shared" si="38"/>
        <v>0.26109045848822804</v>
      </c>
      <c r="U54" s="27">
        <f t="shared" si="45"/>
        <v>-3.5180192286018999E-2</v>
      </c>
      <c r="V54" s="25">
        <f t="shared" si="5"/>
        <v>0.66735449215551412</v>
      </c>
      <c r="W54" s="134">
        <f t="shared" si="6"/>
        <v>0.60105126387904562</v>
      </c>
      <c r="X54" s="26">
        <f t="shared" si="7"/>
        <v>6.8445051124744374E-2</v>
      </c>
      <c r="Y54" s="33">
        <f t="shared" si="22"/>
        <v>267708.26</v>
      </c>
      <c r="Z54" s="29">
        <f t="shared" si="23"/>
        <v>5.8213899580316177E-2</v>
      </c>
      <c r="AA54" s="17">
        <v>40391</v>
      </c>
      <c r="AB54" s="39">
        <f t="shared" si="51"/>
        <v>31</v>
      </c>
      <c r="AC54" s="130">
        <v>15100</v>
      </c>
      <c r="AD54" s="129">
        <v>7085.98</v>
      </c>
      <c r="AE54" s="131">
        <f t="shared" si="8"/>
        <v>0</v>
      </c>
      <c r="AF54" s="131">
        <f t="shared" si="9"/>
        <v>82</v>
      </c>
      <c r="AG54" s="3">
        <f t="shared" si="24"/>
        <v>250860</v>
      </c>
      <c r="AH54" s="3">
        <f t="shared" si="10"/>
        <v>1510</v>
      </c>
      <c r="AI54" s="3">
        <f t="shared" si="25"/>
        <v>25086</v>
      </c>
      <c r="AJ54" s="37">
        <f t="shared" si="11"/>
        <v>487.09677419354841</v>
      </c>
      <c r="AK54" s="37">
        <f t="shared" si="26"/>
        <v>364</v>
      </c>
      <c r="AL54" s="16">
        <f>IF(ISBLANK(AB54),"",AG54/AK54)</f>
        <v>689.17582417582423</v>
      </c>
      <c r="AM54" s="27">
        <f t="shared" si="39"/>
        <v>1.5900514579759863</v>
      </c>
      <c r="AN54" s="27">
        <f t="shared" si="44"/>
        <v>0.29923920012141425</v>
      </c>
      <c r="AO54" s="41">
        <f t="shared" si="12"/>
        <v>0.46927019867549669</v>
      </c>
      <c r="AP54" s="5">
        <f t="shared" si="40"/>
        <v>117721.0738012959</v>
      </c>
      <c r="AQ54" s="4">
        <f t="shared" si="28"/>
        <v>0.4692700063832253</v>
      </c>
      <c r="AR54">
        <f t="shared" si="29"/>
        <v>3305</v>
      </c>
      <c r="AS54" s="6" t="e">
        <f t="shared" si="13"/>
        <v>#DIV/0!</v>
      </c>
      <c r="AT54" s="39"/>
      <c r="AU54" s="1">
        <f t="shared" si="30"/>
        <v>0</v>
      </c>
      <c r="AV54" s="5">
        <f t="shared" si="46"/>
        <v>40555.61</v>
      </c>
      <c r="AW54" s="9">
        <f t="shared" si="31"/>
        <v>385429.3338012959</v>
      </c>
      <c r="AX54" s="3">
        <f t="shared" si="47"/>
        <v>3178.9569999999999</v>
      </c>
      <c r="AY54" s="3">
        <f t="shared" si="32"/>
        <v>40781.36310000001</v>
      </c>
      <c r="AZ54" s="3">
        <f t="shared" si="33"/>
        <v>35978.404516738337</v>
      </c>
      <c r="BA54" s="3">
        <f t="shared" si="34"/>
        <v>57504.515821421039</v>
      </c>
      <c r="BB54" s="10">
        <f t="shared" si="15"/>
        <v>93482.920338159398</v>
      </c>
      <c r="BC54" s="14">
        <f t="shared" si="35"/>
        <v>28.28530116131903</v>
      </c>
      <c r="BD54" s="2">
        <f t="shared" si="16"/>
        <v>0.88351778775477918</v>
      </c>
      <c r="BE54" s="6">
        <f t="shared" si="17"/>
        <v>10.541577649205491</v>
      </c>
      <c r="BF54" s="15">
        <f t="shared" si="36"/>
        <v>0.57504515821421043</v>
      </c>
    </row>
    <row r="55" spans="1:58" x14ac:dyDescent="0.2">
      <c r="A55" s="18" t="s">
        <v>13</v>
      </c>
      <c r="B55" s="1"/>
      <c r="C55" s="17">
        <v>40420</v>
      </c>
      <c r="D55" s="131">
        <f t="shared" si="50"/>
        <v>31</v>
      </c>
      <c r="E55" s="137">
        <v>573900</v>
      </c>
      <c r="F55" s="136">
        <v>1342.8</v>
      </c>
      <c r="G55" s="136">
        <v>762.3</v>
      </c>
      <c r="H55" s="129">
        <v>40016.959999999999</v>
      </c>
      <c r="I55" s="11">
        <v>0</v>
      </c>
      <c r="J55" s="11">
        <v>82</v>
      </c>
      <c r="K55" s="24">
        <f t="shared" si="18"/>
        <v>4752600</v>
      </c>
      <c r="L55" s="24">
        <f t="shared" si="19"/>
        <v>3305</v>
      </c>
      <c r="M55" s="16">
        <f t="shared" si="3"/>
        <v>1958.7206999999999</v>
      </c>
      <c r="N55" s="16">
        <f t="shared" si="20"/>
        <v>16220.623799999998</v>
      </c>
      <c r="O55" s="16">
        <f t="shared" si="4"/>
        <v>18512.903225806451</v>
      </c>
      <c r="P55" s="16">
        <f t="shared" si="21"/>
        <v>13125.681968661667</v>
      </c>
      <c r="Q55" s="27">
        <f t="shared" si="37"/>
        <v>0.36642857142857138</v>
      </c>
      <c r="R55" s="27">
        <f t="shared" si="43"/>
        <v>0.1432113945469328</v>
      </c>
      <c r="S55" s="86">
        <f t="shared" si="42"/>
        <v>941.16666666666663</v>
      </c>
      <c r="T55" s="27">
        <f t="shared" si="38"/>
        <v>0.13999490618898025</v>
      </c>
      <c r="U55" s="27">
        <f t="shared" si="45"/>
        <v>-1.4588350260007625E-2</v>
      </c>
      <c r="V55" s="25">
        <f t="shared" si="5"/>
        <v>0.57444963340924604</v>
      </c>
      <c r="W55" s="134">
        <f t="shared" si="6"/>
        <v>0.63787943565626337</v>
      </c>
      <c r="X55" s="26">
        <f t="shared" si="7"/>
        <v>6.9728105941801705E-2</v>
      </c>
      <c r="Y55" s="33">
        <f t="shared" si="22"/>
        <v>283213.14</v>
      </c>
      <c r="Z55" s="29">
        <f t="shared" si="23"/>
        <v>5.9591200605984093E-2</v>
      </c>
      <c r="AA55" s="17">
        <v>40422</v>
      </c>
      <c r="AB55" s="39">
        <f t="shared" si="51"/>
        <v>31</v>
      </c>
      <c r="AC55" s="130">
        <v>13250</v>
      </c>
      <c r="AD55" s="129">
        <v>6217.83</v>
      </c>
      <c r="AE55" s="131">
        <f t="shared" si="8"/>
        <v>0</v>
      </c>
      <c r="AF55" s="131">
        <f t="shared" si="9"/>
        <v>82</v>
      </c>
      <c r="AG55" s="3">
        <f t="shared" si="24"/>
        <v>253910</v>
      </c>
      <c r="AH55" s="3">
        <f t="shared" si="10"/>
        <v>1325</v>
      </c>
      <c r="AI55" s="3">
        <f t="shared" si="25"/>
        <v>25391</v>
      </c>
      <c r="AJ55" s="37">
        <f t="shared" si="11"/>
        <v>427.41935483870969</v>
      </c>
      <c r="AK55" s="37">
        <f t="shared" si="26"/>
        <v>364</v>
      </c>
      <c r="AL55" s="16">
        <f t="shared" si="27"/>
        <v>697.55494505494505</v>
      </c>
      <c r="AM55" s="27">
        <f t="shared" si="39"/>
        <v>0.29901960784313719</v>
      </c>
      <c r="AN55" s="27">
        <f t="shared" si="44"/>
        <v>0.29136873594639678</v>
      </c>
      <c r="AO55" s="41">
        <f t="shared" si="12"/>
        <v>0.4692701886792453</v>
      </c>
      <c r="AP55" s="5">
        <f t="shared" si="40"/>
        <v>119152.35002159828</v>
      </c>
      <c r="AQ55" s="4">
        <f t="shared" si="28"/>
        <v>0.46927001702019722</v>
      </c>
      <c r="AR55">
        <f t="shared" si="29"/>
        <v>3305</v>
      </c>
      <c r="AS55" s="6" t="e">
        <f t="shared" si="13"/>
        <v>#DIV/0!</v>
      </c>
      <c r="AT55" s="39"/>
      <c r="AU55" s="1">
        <f t="shared" si="30"/>
        <v>0</v>
      </c>
      <c r="AV55" s="5">
        <f t="shared" si="46"/>
        <v>46234.79</v>
      </c>
      <c r="AW55" s="9">
        <f t="shared" si="31"/>
        <v>402365.49002159823</v>
      </c>
      <c r="AX55" s="3">
        <f t="shared" si="47"/>
        <v>3283.7206999999999</v>
      </c>
      <c r="AY55" s="3">
        <f t="shared" si="32"/>
        <v>41611.623800000001</v>
      </c>
      <c r="AZ55" s="3">
        <f t="shared" si="33"/>
        <v>37182.457065312068</v>
      </c>
      <c r="BA55" s="3">
        <f t="shared" si="34"/>
        <v>58203.665838384026</v>
      </c>
      <c r="BB55" s="10">
        <f t="shared" si="15"/>
        <v>95386.122903696101</v>
      </c>
      <c r="BC55" s="14">
        <f t="shared" si="35"/>
        <v>28.861156703085054</v>
      </c>
      <c r="BD55" s="2">
        <f t="shared" si="16"/>
        <v>0.92234045630793371</v>
      </c>
      <c r="BE55" s="6">
        <f t="shared" si="17"/>
        <v>10.8943618708796</v>
      </c>
      <c r="BF55" s="15">
        <f t="shared" si="36"/>
        <v>0.58203665838384022</v>
      </c>
    </row>
    <row r="56" spans="1:58" x14ac:dyDescent="0.2">
      <c r="A56" s="18" t="s">
        <v>14</v>
      </c>
      <c r="B56" s="1"/>
      <c r="C56" s="17">
        <v>40450</v>
      </c>
      <c r="D56" s="131">
        <f t="shared" si="50"/>
        <v>30</v>
      </c>
      <c r="E56" s="137">
        <v>525300</v>
      </c>
      <c r="F56" s="136">
        <v>1314</v>
      </c>
      <c r="G56" s="136">
        <v>718.6</v>
      </c>
      <c r="H56" s="129">
        <v>37203.56</v>
      </c>
      <c r="I56" s="11">
        <v>6</v>
      </c>
      <c r="J56" s="11">
        <v>72</v>
      </c>
      <c r="K56" s="24">
        <f t="shared" si="18"/>
        <v>4900800</v>
      </c>
      <c r="L56" s="24">
        <f t="shared" si="19"/>
        <v>3306</v>
      </c>
      <c r="M56" s="16">
        <f t="shared" si="3"/>
        <v>1792.8489</v>
      </c>
      <c r="N56" s="16">
        <f t="shared" si="20"/>
        <v>16726.430400000001</v>
      </c>
      <c r="O56" s="16">
        <f t="shared" si="4"/>
        <v>17510</v>
      </c>
      <c r="P56" s="16">
        <f t="shared" si="21"/>
        <v>13537.348635328335</v>
      </c>
      <c r="Q56" s="27">
        <f t="shared" si="37"/>
        <v>0.39299920445505171</v>
      </c>
      <c r="R56" s="27">
        <f t="shared" si="43"/>
        <v>0.18786049974813154</v>
      </c>
      <c r="S56" s="86">
        <f t="shared" si="42"/>
        <v>953.54166666666663</v>
      </c>
      <c r="T56" s="27">
        <f t="shared" si="38"/>
        <v>0.12741312741312741</v>
      </c>
      <c r="U56" s="27">
        <f t="shared" si="45"/>
        <v>7.784075006995807E-4</v>
      </c>
      <c r="V56" s="25">
        <f t="shared" si="5"/>
        <v>0.55523845763571789</v>
      </c>
      <c r="W56" s="134">
        <f t="shared" si="6"/>
        <v>0.64646265866378039</v>
      </c>
      <c r="X56" s="26">
        <f t="shared" si="7"/>
        <v>7.0823453264801065E-2</v>
      </c>
      <c r="Y56" s="33">
        <f t="shared" si="22"/>
        <v>297689.41000000003</v>
      </c>
      <c r="Z56" s="29">
        <f t="shared" si="23"/>
        <v>6.0743023587985639E-2</v>
      </c>
      <c r="AA56" s="17">
        <v>40452</v>
      </c>
      <c r="AB56" s="39">
        <f t="shared" si="51"/>
        <v>30</v>
      </c>
      <c r="AC56" s="130">
        <v>13220</v>
      </c>
      <c r="AD56" s="129">
        <v>6203.75</v>
      </c>
      <c r="AE56" s="131">
        <f t="shared" si="8"/>
        <v>6</v>
      </c>
      <c r="AF56" s="131">
        <f t="shared" si="9"/>
        <v>72</v>
      </c>
      <c r="AG56" s="3">
        <f t="shared" si="24"/>
        <v>257240</v>
      </c>
      <c r="AH56" s="3">
        <f t="shared" si="10"/>
        <v>1322</v>
      </c>
      <c r="AI56" s="3">
        <f t="shared" si="25"/>
        <v>25724</v>
      </c>
      <c r="AJ56" s="37">
        <f t="shared" si="11"/>
        <v>440.66666666666669</v>
      </c>
      <c r="AK56" s="37">
        <f t="shared" si="26"/>
        <v>364</v>
      </c>
      <c r="AL56" s="16">
        <f t="shared" si="27"/>
        <v>706.7032967032967</v>
      </c>
      <c r="AM56" s="27">
        <f t="shared" si="39"/>
        <v>0.33670374115267948</v>
      </c>
      <c r="AN56" s="27">
        <f t="shared" si="44"/>
        <v>0.28928998636285974</v>
      </c>
      <c r="AO56" s="41">
        <f t="shared" si="12"/>
        <v>0.4692700453857791</v>
      </c>
      <c r="AP56" s="5">
        <f t="shared" si="40"/>
        <v>120715.0199352052</v>
      </c>
      <c r="AQ56" s="4">
        <f t="shared" si="28"/>
        <v>0.46927001996270096</v>
      </c>
      <c r="AR56">
        <f t="shared" si="29"/>
        <v>3306</v>
      </c>
      <c r="AS56" s="6">
        <f t="shared" si="13"/>
        <v>2203.3333333333335</v>
      </c>
      <c r="AT56" s="39"/>
      <c r="AU56" s="1">
        <f t="shared" si="30"/>
        <v>0</v>
      </c>
      <c r="AV56" s="5">
        <f t="shared" si="46"/>
        <v>43407.31</v>
      </c>
      <c r="AW56" s="9">
        <f t="shared" si="31"/>
        <v>418404.42993520515</v>
      </c>
      <c r="AX56" s="3">
        <f t="shared" si="47"/>
        <v>3114.8489</v>
      </c>
      <c r="AY56" s="3">
        <f t="shared" si="32"/>
        <v>42450.430399999997</v>
      </c>
      <c r="AZ56" s="3">
        <f t="shared" si="33"/>
        <v>38341.91507504975</v>
      </c>
      <c r="BA56" s="3">
        <f t="shared" si="34"/>
        <v>58967.000119199351</v>
      </c>
      <c r="BB56" s="10">
        <f t="shared" si="15"/>
        <v>97308.915194249086</v>
      </c>
      <c r="BC56" s="14">
        <f t="shared" si="35"/>
        <v>29.434033634074133</v>
      </c>
      <c r="BD56" s="2">
        <f t="shared" si="16"/>
        <v>0.95910644028388958</v>
      </c>
      <c r="BE56" s="6">
        <f t="shared" si="17"/>
        <v>11.234080010269482</v>
      </c>
      <c r="BF56" s="15">
        <f t="shared" si="36"/>
        <v>0.58967000119199342</v>
      </c>
    </row>
    <row r="57" spans="1:58" x14ac:dyDescent="0.2">
      <c r="A57" s="18" t="s">
        <v>15</v>
      </c>
      <c r="B57" s="1"/>
      <c r="C57" s="17">
        <v>40479</v>
      </c>
      <c r="D57" s="131">
        <f t="shared" si="50"/>
        <v>29</v>
      </c>
      <c r="E57" s="137">
        <v>404400</v>
      </c>
      <c r="F57" s="136">
        <v>1248</v>
      </c>
      <c r="G57" s="136">
        <v>707.9</v>
      </c>
      <c r="H57" s="129">
        <v>25630.16</v>
      </c>
      <c r="I57" s="11">
        <v>63</v>
      </c>
      <c r="J57" s="11">
        <v>60</v>
      </c>
      <c r="K57" s="24">
        <f t="shared" si="18"/>
        <v>5040300</v>
      </c>
      <c r="L57" s="24">
        <f t="shared" si="19"/>
        <v>3160</v>
      </c>
      <c r="M57" s="16">
        <f t="shared" si="3"/>
        <v>1380.2171999999998</v>
      </c>
      <c r="N57" s="16">
        <f t="shared" si="20"/>
        <v>17202.543900000001</v>
      </c>
      <c r="O57" s="16">
        <f t="shared" si="4"/>
        <v>13944.827586206897</v>
      </c>
      <c r="P57" s="16">
        <f t="shared" si="21"/>
        <v>13987.320826652029</v>
      </c>
      <c r="Q57" s="27">
        <f t="shared" si="37"/>
        <v>0.63189752801968202</v>
      </c>
      <c r="R57" s="27">
        <f t="shared" si="43"/>
        <v>0.24416005503511978</v>
      </c>
      <c r="S57" s="86">
        <f t="shared" si="42"/>
        <v>979.875</v>
      </c>
      <c r="T57" s="27">
        <f t="shared" si="38"/>
        <v>0.33905579399141633</v>
      </c>
      <c r="U57" s="27">
        <f t="shared" si="45"/>
        <v>2.9235415116635341E-2</v>
      </c>
      <c r="V57" s="25">
        <f t="shared" si="5"/>
        <v>0.46557250221043323</v>
      </c>
      <c r="W57" s="134">
        <f t="shared" si="6"/>
        <v>0.63806943095250268</v>
      </c>
      <c r="X57" s="26">
        <f t="shared" si="7"/>
        <v>6.3378239366963407E-2</v>
      </c>
      <c r="Y57" s="33">
        <f t="shared" si="22"/>
        <v>310019.83</v>
      </c>
      <c r="Z57" s="29">
        <f t="shared" si="23"/>
        <v>6.1508209828780039E-2</v>
      </c>
      <c r="AA57" s="17">
        <v>40483</v>
      </c>
      <c r="AB57" s="39">
        <f t="shared" si="51"/>
        <v>31</v>
      </c>
      <c r="AC57" s="130">
        <v>18370</v>
      </c>
      <c r="AD57" s="129">
        <v>8620.49</v>
      </c>
      <c r="AE57" s="131">
        <f t="shared" si="8"/>
        <v>63</v>
      </c>
      <c r="AF57" s="131">
        <f t="shared" si="9"/>
        <v>60</v>
      </c>
      <c r="AG57" s="3">
        <f t="shared" si="24"/>
        <v>259970</v>
      </c>
      <c r="AH57" s="3">
        <f t="shared" si="10"/>
        <v>1837</v>
      </c>
      <c r="AI57" s="3">
        <f t="shared" si="25"/>
        <v>25997</v>
      </c>
      <c r="AJ57" s="37">
        <f t="shared" si="11"/>
        <v>592.58064516129036</v>
      </c>
      <c r="AK57" s="37">
        <f t="shared" si="26"/>
        <v>364</v>
      </c>
      <c r="AL57" s="16">
        <f t="shared" si="27"/>
        <v>714.2032967032967</v>
      </c>
      <c r="AM57" s="27">
        <f t="shared" si="39"/>
        <v>0.1745524296675193</v>
      </c>
      <c r="AN57" s="27">
        <f t="shared" si="44"/>
        <v>0.28720811042965783</v>
      </c>
      <c r="AO57" s="41">
        <f t="shared" si="12"/>
        <v>0.4692700054436581</v>
      </c>
      <c r="AP57" s="5">
        <f t="shared" si="40"/>
        <v>121996.12747300217</v>
      </c>
      <c r="AQ57" s="4">
        <f t="shared" si="28"/>
        <v>0.46927002143709723</v>
      </c>
      <c r="AR57">
        <f t="shared" si="29"/>
        <v>3160</v>
      </c>
      <c r="AS57" s="6">
        <f t="shared" si="13"/>
        <v>291.58730158730157</v>
      </c>
      <c r="AT57" s="39"/>
      <c r="AU57" s="1">
        <f t="shared" si="30"/>
        <v>0</v>
      </c>
      <c r="AV57" s="5">
        <f t="shared" si="46"/>
        <v>34250.65</v>
      </c>
      <c r="AW57" s="9">
        <f t="shared" si="31"/>
        <v>432015.95747300214</v>
      </c>
      <c r="AX57" s="3">
        <f t="shared" si="47"/>
        <v>3217.2172</v>
      </c>
      <c r="AY57" s="3">
        <f t="shared" si="32"/>
        <v>43199.54389999999</v>
      </c>
      <c r="AZ57" s="3">
        <f t="shared" si="33"/>
        <v>39433.307736037634</v>
      </c>
      <c r="BA57" s="3">
        <f t="shared" si="34"/>
        <v>59592.796691759657</v>
      </c>
      <c r="BB57" s="10">
        <f t="shared" si="15"/>
        <v>99026.104427797269</v>
      </c>
      <c r="BC57" s="14">
        <f t="shared" si="35"/>
        <v>31.337374818923188</v>
      </c>
      <c r="BD57" s="2">
        <f t="shared" si="16"/>
        <v>0.99030807867386628</v>
      </c>
      <c r="BE57" s="6">
        <f t="shared" si="17"/>
        <v>11.553855181962389</v>
      </c>
      <c r="BF57" s="15">
        <f t="shared" si="36"/>
        <v>0.59592796691759653</v>
      </c>
    </row>
    <row r="58" spans="1:58" x14ac:dyDescent="0.2">
      <c r="A58" s="18" t="s">
        <v>16</v>
      </c>
      <c r="B58" s="1"/>
      <c r="C58" s="17">
        <v>40512</v>
      </c>
      <c r="D58" s="131">
        <f t="shared" si="50"/>
        <v>33</v>
      </c>
      <c r="E58" s="137">
        <v>353700</v>
      </c>
      <c r="F58" s="136">
        <v>836.3</v>
      </c>
      <c r="G58" s="136">
        <v>496.2</v>
      </c>
      <c r="H58" s="129">
        <v>20970.63</v>
      </c>
      <c r="I58" s="11">
        <v>319</v>
      </c>
      <c r="J58" s="11">
        <v>49</v>
      </c>
      <c r="K58" s="24">
        <f t="shared" si="18"/>
        <v>5025900</v>
      </c>
      <c r="L58" s="24">
        <f t="shared" si="19"/>
        <v>3241</v>
      </c>
      <c r="M58" s="16">
        <f t="shared" si="3"/>
        <v>1207.1780999999999</v>
      </c>
      <c r="N58" s="16">
        <f t="shared" si="20"/>
        <v>17153.396700000001</v>
      </c>
      <c r="O58" s="16">
        <f t="shared" si="4"/>
        <v>10718.181818181818</v>
      </c>
      <c r="P58" s="16">
        <f t="shared" si="21"/>
        <v>13858.002644833847</v>
      </c>
      <c r="Q58" s="27">
        <f t="shared" si="37"/>
        <v>-0.12647254945543454</v>
      </c>
      <c r="R58" s="27">
        <f t="shared" si="43"/>
        <v>0.20259125898458571</v>
      </c>
      <c r="S58" s="86">
        <f t="shared" si="42"/>
        <v>977.72499999999991</v>
      </c>
      <c r="T58" s="27">
        <f t="shared" si="38"/>
        <v>-2.992692263078537E-2</v>
      </c>
      <c r="U58" s="27">
        <f t="shared" si="45"/>
        <v>3.5826219000785677E-2</v>
      </c>
      <c r="V58" s="25">
        <f t="shared" si="5"/>
        <v>0.5340080223495266</v>
      </c>
      <c r="W58" s="134">
        <f t="shared" si="6"/>
        <v>0.62761726078799251</v>
      </c>
      <c r="X58" s="26">
        <f t="shared" si="7"/>
        <v>5.9289312977099239E-2</v>
      </c>
      <c r="Y58" s="33">
        <f t="shared" si="22"/>
        <v>313560.52999999997</v>
      </c>
      <c r="Z58" s="29">
        <f t="shared" si="23"/>
        <v>6.2388931335681165E-2</v>
      </c>
      <c r="AA58" s="17">
        <v>40513</v>
      </c>
      <c r="AB58" s="39">
        <f t="shared" si="51"/>
        <v>30</v>
      </c>
      <c r="AC58" s="130">
        <v>18570</v>
      </c>
      <c r="AD58" s="129">
        <v>8714.34</v>
      </c>
      <c r="AE58" s="131">
        <f t="shared" si="8"/>
        <v>319</v>
      </c>
      <c r="AF58" s="131">
        <f t="shared" si="9"/>
        <v>49</v>
      </c>
      <c r="AG58" s="3">
        <f t="shared" si="24"/>
        <v>263050</v>
      </c>
      <c r="AH58" s="3">
        <f t="shared" si="10"/>
        <v>1857</v>
      </c>
      <c r="AI58" s="3">
        <f t="shared" si="25"/>
        <v>26305</v>
      </c>
      <c r="AJ58" s="37">
        <f t="shared" si="11"/>
        <v>619</v>
      </c>
      <c r="AK58" s="37">
        <f t="shared" si="26"/>
        <v>364</v>
      </c>
      <c r="AL58" s="16">
        <f t="shared" si="27"/>
        <v>722.66483516483515</v>
      </c>
      <c r="AM58" s="27">
        <f t="shared" si="39"/>
        <v>0.1988379599741768</v>
      </c>
      <c r="AN58" s="27">
        <f t="shared" si="44"/>
        <v>0.36144351293123339</v>
      </c>
      <c r="AO58" s="41">
        <f t="shared" si="12"/>
        <v>0.46926978998384494</v>
      </c>
      <c r="AP58" s="5">
        <f t="shared" si="40"/>
        <v>123441.47550755939</v>
      </c>
      <c r="AQ58" s="4">
        <f t="shared" si="28"/>
        <v>0.46927000763185472</v>
      </c>
      <c r="AR58">
        <f t="shared" si="29"/>
        <v>3241</v>
      </c>
      <c r="AS58" s="6">
        <f t="shared" si="13"/>
        <v>58.213166144200628</v>
      </c>
      <c r="AT58" s="39"/>
      <c r="AU58" s="1">
        <f t="shared" si="30"/>
        <v>0</v>
      </c>
      <c r="AV58" s="5">
        <f t="shared" si="46"/>
        <v>29684.97</v>
      </c>
      <c r="AW58" s="9">
        <f t="shared" si="31"/>
        <v>437002.0055075594</v>
      </c>
      <c r="AX58" s="3">
        <f t="shared" si="47"/>
        <v>3064.1781000000001</v>
      </c>
      <c r="AY58" s="3">
        <f t="shared" si="32"/>
        <v>43458.39669999999</v>
      </c>
      <c r="AZ58" s="3">
        <f t="shared" si="33"/>
        <v>39320.647848451787</v>
      </c>
      <c r="BA58" s="3">
        <f t="shared" si="34"/>
        <v>60298.823594135392</v>
      </c>
      <c r="BB58" s="10">
        <f t="shared" si="15"/>
        <v>99619.471442587164</v>
      </c>
      <c r="BC58" s="14">
        <f t="shared" si="35"/>
        <v>30.737263635478914</v>
      </c>
      <c r="BD58" s="2">
        <f t="shared" si="16"/>
        <v>1.0017375723392399</v>
      </c>
      <c r="BE58" s="6">
        <f t="shared" si="17"/>
        <v>11.520846131981186</v>
      </c>
      <c r="BF58" s="15">
        <f t="shared" si="36"/>
        <v>0.60298823594135387</v>
      </c>
    </row>
    <row r="59" spans="1:58" x14ac:dyDescent="0.2">
      <c r="A59" s="18" t="s">
        <v>17</v>
      </c>
      <c r="B59" s="1"/>
      <c r="C59" s="17">
        <v>40546</v>
      </c>
      <c r="D59" s="131">
        <f t="shared" si="50"/>
        <v>34</v>
      </c>
      <c r="E59" s="137">
        <v>357900</v>
      </c>
      <c r="F59" s="136">
        <v>791.9</v>
      </c>
      <c r="G59" s="136">
        <v>460.2</v>
      </c>
      <c r="H59" s="129">
        <v>21597.91</v>
      </c>
      <c r="I59" s="11">
        <v>724</v>
      </c>
      <c r="J59" s="11">
        <v>36</v>
      </c>
      <c r="K59" s="24">
        <f t="shared" si="18"/>
        <v>5024700</v>
      </c>
      <c r="L59" s="24">
        <f t="shared" si="19"/>
        <v>3125</v>
      </c>
      <c r="M59" s="16">
        <f t="shared" si="3"/>
        <v>1221.5127</v>
      </c>
      <c r="N59" s="16">
        <f t="shared" si="20"/>
        <v>17149.301099999997</v>
      </c>
      <c r="O59" s="16">
        <f t="shared" si="4"/>
        <v>10526.470588235294</v>
      </c>
      <c r="P59" s="16">
        <f t="shared" si="21"/>
        <v>13769.885946541626</v>
      </c>
      <c r="Q59" s="27">
        <f t="shared" si="37"/>
        <v>-9.1282126885842099E-2</v>
      </c>
      <c r="R59" s="27">
        <f t="shared" si="43"/>
        <v>0.21558615527215921</v>
      </c>
      <c r="S59" s="86">
        <f t="shared" si="42"/>
        <v>977.94999999999993</v>
      </c>
      <c r="T59" s="27">
        <f t="shared" si="38"/>
        <v>3.4211860111504457E-3</v>
      </c>
      <c r="U59" s="27">
        <f t="shared" si="45"/>
        <v>3.39377279695511E-2</v>
      </c>
      <c r="V59" s="25">
        <f t="shared" si="5"/>
        <v>0.55386152440519087</v>
      </c>
      <c r="W59" s="134">
        <f t="shared" si="6"/>
        <v>0.63245747144796749</v>
      </c>
      <c r="X59" s="26">
        <f t="shared" si="7"/>
        <v>6.0346214026264319E-2</v>
      </c>
      <c r="Y59" s="33">
        <f t="shared" si="22"/>
        <v>318981.55</v>
      </c>
      <c r="Z59" s="29">
        <f t="shared" si="23"/>
        <v>6.3482705435150361E-2</v>
      </c>
      <c r="AA59" s="17">
        <v>40544</v>
      </c>
      <c r="AB59" s="39">
        <f t="shared" si="51"/>
        <v>31</v>
      </c>
      <c r="AC59" s="130">
        <v>34380</v>
      </c>
      <c r="AD59" s="129">
        <v>16133.5</v>
      </c>
      <c r="AE59" s="131">
        <f t="shared" si="8"/>
        <v>724</v>
      </c>
      <c r="AF59" s="131">
        <f t="shared" si="9"/>
        <v>36</v>
      </c>
      <c r="AG59" s="3">
        <f t="shared" si="24"/>
        <v>260780</v>
      </c>
      <c r="AH59" s="3">
        <f t="shared" si="10"/>
        <v>3438</v>
      </c>
      <c r="AI59" s="3">
        <f t="shared" si="25"/>
        <v>26078</v>
      </c>
      <c r="AJ59" s="37">
        <f t="shared" si="11"/>
        <v>1109.0322580645161</v>
      </c>
      <c r="AK59" s="37">
        <f t="shared" si="26"/>
        <v>364</v>
      </c>
      <c r="AL59" s="16">
        <f t="shared" si="27"/>
        <v>716.42857142857144</v>
      </c>
      <c r="AM59" s="27">
        <f t="shared" si="39"/>
        <v>-6.1937244201909977E-2</v>
      </c>
      <c r="AN59" s="27">
        <f t="shared" si="44"/>
        <v>0.35364131158209233</v>
      </c>
      <c r="AO59" s="41">
        <f t="shared" si="12"/>
        <v>0.46926992437463644</v>
      </c>
      <c r="AP59" s="5">
        <f t="shared" si="40"/>
        <v>122376.23079913607</v>
      </c>
      <c r="AQ59" s="4">
        <f t="shared" si="28"/>
        <v>0.46927000076361713</v>
      </c>
      <c r="AR59">
        <f t="shared" si="29"/>
        <v>3125</v>
      </c>
      <c r="AS59" s="6">
        <f t="shared" si="13"/>
        <v>47.486187845303867</v>
      </c>
      <c r="AT59" s="39"/>
      <c r="AU59" s="1">
        <f t="shared" si="30"/>
        <v>0</v>
      </c>
      <c r="AV59" s="5">
        <f t="shared" si="46"/>
        <v>37731.410000000003</v>
      </c>
      <c r="AW59" s="9">
        <f t="shared" si="31"/>
        <v>441357.78079913603</v>
      </c>
      <c r="AX59" s="3">
        <f t="shared" si="47"/>
        <v>4659.5127000000002</v>
      </c>
      <c r="AY59" s="3">
        <f t="shared" si="32"/>
        <v>43227.301099999997</v>
      </c>
      <c r="AZ59" s="3">
        <f t="shared" si="33"/>
        <v>39311.25952448629</v>
      </c>
      <c r="BA59" s="3">
        <f t="shared" si="34"/>
        <v>59778.472597903929</v>
      </c>
      <c r="BB59" s="10">
        <f t="shared" si="15"/>
        <v>99089.732122390225</v>
      </c>
      <c r="BC59" s="14">
        <f t="shared" si="35"/>
        <v>31.708714279164873</v>
      </c>
      <c r="BD59" s="2">
        <f t="shared" si="16"/>
        <v>1.0117222948605276</v>
      </c>
      <c r="BE59" s="6">
        <f t="shared" si="17"/>
        <v>11.518095377816085</v>
      </c>
      <c r="BF59" s="15">
        <f t="shared" si="36"/>
        <v>0.5977847259790392</v>
      </c>
    </row>
    <row r="60" spans="1:58" s="18" customFormat="1" x14ac:dyDescent="0.2">
      <c r="A60" s="21" t="str">
        <f>IF(B60=2010,$BM$35,IF(B60=2011,$BN$35,IF(B60=2012,$BO$35,IF(B60=2013,$BP$35,IF(B60=2014,$BQ$35,IF(B60=2015,$BR$35,IF(B60=2016,$BS$35,"")))))))</f>
        <v>JAN 11</v>
      </c>
      <c r="B60" s="37">
        <f>B48+1</f>
        <v>2011</v>
      </c>
      <c r="C60" s="17">
        <v>40574</v>
      </c>
      <c r="D60" s="131">
        <f t="shared" si="50"/>
        <v>28</v>
      </c>
      <c r="E60" s="137">
        <v>314100</v>
      </c>
      <c r="F60" s="136">
        <v>935.5</v>
      </c>
      <c r="G60" s="136">
        <v>599.20000000000005</v>
      </c>
      <c r="H60" s="129">
        <v>19575.21</v>
      </c>
      <c r="I60" s="11">
        <v>854</v>
      </c>
      <c r="J60" s="11">
        <v>32</v>
      </c>
      <c r="K60" s="24">
        <f t="shared" si="18"/>
        <v>4982700</v>
      </c>
      <c r="L60" s="24">
        <f t="shared" si="19"/>
        <v>3077</v>
      </c>
      <c r="M60" s="16">
        <f t="shared" si="3"/>
        <v>1072.0232999999998</v>
      </c>
      <c r="N60" s="16">
        <f t="shared" si="20"/>
        <v>17005.955099999996</v>
      </c>
      <c r="O60" s="16">
        <f>IF(ISBLANK(D60),"",+E60/D60)</f>
        <v>11217.857142857143</v>
      </c>
      <c r="P60" s="16">
        <f t="shared" si="21"/>
        <v>13747.449310596925</v>
      </c>
      <c r="Q60" s="27">
        <f t="shared" si="37"/>
        <v>-2.3438440245516955E-2</v>
      </c>
      <c r="R60" s="27">
        <f t="shared" si="43"/>
        <v>0.19732455940011934</v>
      </c>
      <c r="S60" s="86">
        <f t="shared" si="42"/>
        <v>992.32499999999993</v>
      </c>
      <c r="T60" s="27">
        <f t="shared" si="38"/>
        <v>0.22608125819134994</v>
      </c>
      <c r="U60" s="27">
        <f t="shared" si="45"/>
        <v>4.9792384797806281E-2</v>
      </c>
      <c r="V60" s="25">
        <f>IF(D60=0,"",IF(E60=0,"",IF(F60=0,"",E60/(D60*F60*24))))</f>
        <v>0.49963732152401313</v>
      </c>
      <c r="W60" s="134">
        <f t="shared" si="6"/>
        <v>0.60956538737212485</v>
      </c>
      <c r="X60" s="26">
        <f t="shared" si="7"/>
        <v>6.2321585482330466E-2</v>
      </c>
      <c r="Y60" s="33">
        <f t="shared" si="22"/>
        <v>322551.98</v>
      </c>
      <c r="Z60" s="29">
        <f t="shared" si="23"/>
        <v>6.4734376944227026E-2</v>
      </c>
      <c r="AA60" s="17">
        <v>40575</v>
      </c>
      <c r="AB60" s="39">
        <f t="shared" si="51"/>
        <v>31</v>
      </c>
      <c r="AC60" s="130">
        <v>36850</v>
      </c>
      <c r="AD60" s="129">
        <v>17292.599999999999</v>
      </c>
      <c r="AE60" s="131">
        <f t="shared" si="8"/>
        <v>854</v>
      </c>
      <c r="AF60" s="131">
        <f t="shared" si="9"/>
        <v>32</v>
      </c>
      <c r="AG60" s="3">
        <f t="shared" si="24"/>
        <v>259870</v>
      </c>
      <c r="AH60" s="3">
        <f t="shared" si="10"/>
        <v>3685</v>
      </c>
      <c r="AI60" s="3">
        <f t="shared" si="25"/>
        <v>25987</v>
      </c>
      <c r="AJ60" s="37">
        <f t="shared" si="11"/>
        <v>1188.7096774193549</v>
      </c>
      <c r="AK60" s="37">
        <f t="shared" si="26"/>
        <v>364</v>
      </c>
      <c r="AL60" s="16">
        <f t="shared" si="27"/>
        <v>713.92857142857144</v>
      </c>
      <c r="AM60" s="27">
        <f t="shared" si="39"/>
        <v>-2.4099576271186363E-2</v>
      </c>
      <c r="AN60" s="27">
        <f t="shared" si="44"/>
        <v>0.3127653832313782</v>
      </c>
      <c r="AO60" s="41">
        <f t="shared" si="12"/>
        <v>0.46927001356852099</v>
      </c>
      <c r="AP60" s="5">
        <f t="shared" si="40"/>
        <v>121949.19641468683</v>
      </c>
      <c r="AQ60" s="4">
        <f t="shared" si="28"/>
        <v>0.46927000582863287</v>
      </c>
      <c r="AR60">
        <f t="shared" si="29"/>
        <v>3077</v>
      </c>
      <c r="AS60" s="6">
        <f t="shared" si="13"/>
        <v>43.149882903981265</v>
      </c>
      <c r="AT60" s="39"/>
      <c r="AU60" s="32">
        <f t="shared" si="30"/>
        <v>0</v>
      </c>
      <c r="AV60" s="30">
        <f t="shared" si="46"/>
        <v>36867.81</v>
      </c>
      <c r="AW60" s="33">
        <f t="shared" si="31"/>
        <v>444501.1764146869</v>
      </c>
      <c r="AX60" s="16">
        <f t="shared" si="47"/>
        <v>4757.0232999999998</v>
      </c>
      <c r="AY60" s="16">
        <f t="shared" si="32"/>
        <v>42992.955099999999</v>
      </c>
      <c r="AZ60" s="16">
        <f t="shared" si="33"/>
        <v>38982.668185694238</v>
      </c>
      <c r="BA60" s="16">
        <f t="shared" si="34"/>
        <v>59569.873740383824</v>
      </c>
      <c r="BB60" s="34">
        <f t="shared" si="15"/>
        <v>98552.541926078062</v>
      </c>
      <c r="BC60" s="14">
        <f t="shared" si="35"/>
        <v>32.028775406590206</v>
      </c>
      <c r="BD60" s="35">
        <f t="shared" si="16"/>
        <v>1.0189278853455563</v>
      </c>
      <c r="BE60" s="31">
        <f t="shared" si="17"/>
        <v>11.421818982037575</v>
      </c>
      <c r="BF60" s="36">
        <f t="shared" si="36"/>
        <v>0.59569873740383827</v>
      </c>
    </row>
    <row r="61" spans="1:58" s="18" customFormat="1" x14ac:dyDescent="0.2">
      <c r="A61" s="18" t="s">
        <v>7</v>
      </c>
      <c r="B61" s="32"/>
      <c r="C61" s="17">
        <v>40604</v>
      </c>
      <c r="D61" s="131">
        <f t="shared" si="50"/>
        <v>30</v>
      </c>
      <c r="E61" s="137">
        <v>304200</v>
      </c>
      <c r="F61" s="136">
        <v>873.8</v>
      </c>
      <c r="G61" s="136">
        <v>472</v>
      </c>
      <c r="H61" s="129">
        <v>18655.04</v>
      </c>
      <c r="I61" s="11">
        <v>708</v>
      </c>
      <c r="J61" s="11">
        <v>35</v>
      </c>
      <c r="K61" s="24">
        <f t="shared" si="18"/>
        <v>4941000</v>
      </c>
      <c r="L61" s="24">
        <f t="shared" si="19"/>
        <v>3085</v>
      </c>
      <c r="M61" s="16">
        <f t="shared" si="3"/>
        <v>1038.2346</v>
      </c>
      <c r="N61" s="16">
        <f t="shared" si="20"/>
        <v>16863.632999999994</v>
      </c>
      <c r="O61" s="16">
        <f>IF(ISBLANK(D61),"",+E61/D61)</f>
        <v>10140</v>
      </c>
      <c r="P61" s="16">
        <f t="shared" si="21"/>
        <v>13562.985024882641</v>
      </c>
      <c r="Q61" s="27">
        <f t="shared" si="37"/>
        <v>-0.17918473547268002</v>
      </c>
      <c r="R61" s="27">
        <f t="shared" si="43"/>
        <v>0.18346748355071613</v>
      </c>
      <c r="S61" s="86">
        <f t="shared" si="42"/>
        <v>1001.2499999999999</v>
      </c>
      <c r="T61" s="27">
        <f t="shared" si="38"/>
        <v>0.13968957871396884</v>
      </c>
      <c r="U61" s="27">
        <f t="shared" si="45"/>
        <v>7.1514567782325705E-2</v>
      </c>
      <c r="V61" s="25">
        <f>IF(D61=0,"",IF(E61=0,"",IF(F61=0,"",E61/(D61*F61*24))))</f>
        <v>0.48352025635156787</v>
      </c>
      <c r="W61" s="134">
        <f t="shared" si="6"/>
        <v>0.64927923911428143</v>
      </c>
      <c r="X61" s="26">
        <f t="shared" si="7"/>
        <v>6.1324917817225509E-2</v>
      </c>
      <c r="Y61" s="33">
        <f t="shared" si="22"/>
        <v>325559.56999999995</v>
      </c>
      <c r="Z61" s="29">
        <f t="shared" si="23"/>
        <v>6.5889409026512843E-2</v>
      </c>
      <c r="AA61" s="17">
        <v>40603</v>
      </c>
      <c r="AB61" s="39">
        <f t="shared" si="51"/>
        <v>28</v>
      </c>
      <c r="AC61" s="130">
        <v>27110</v>
      </c>
      <c r="AD61" s="129">
        <v>12721.91</v>
      </c>
      <c r="AE61" s="131">
        <f t="shared" si="8"/>
        <v>708</v>
      </c>
      <c r="AF61" s="131">
        <f t="shared" si="9"/>
        <v>35</v>
      </c>
      <c r="AG61" s="3">
        <f t="shared" si="24"/>
        <v>250620</v>
      </c>
      <c r="AH61" s="3">
        <f t="shared" si="10"/>
        <v>2711</v>
      </c>
      <c r="AI61" s="3">
        <f t="shared" si="25"/>
        <v>25062</v>
      </c>
      <c r="AJ61" s="37">
        <f t="shared" si="11"/>
        <v>968.21428571428567</v>
      </c>
      <c r="AK61" s="37">
        <f t="shared" si="26"/>
        <v>364</v>
      </c>
      <c r="AL61" s="16">
        <f t="shared" si="27"/>
        <v>688.5164835164835</v>
      </c>
      <c r="AM61" s="27">
        <f t="shared" si="39"/>
        <v>-0.25440044004400447</v>
      </c>
      <c r="AN61" s="27">
        <f t="shared" si="44"/>
        <v>0.19261824451175255</v>
      </c>
      <c r="AO61" s="41">
        <f t="shared" si="12"/>
        <v>0.46927001106602728</v>
      </c>
      <c r="AP61" s="5">
        <f t="shared" si="40"/>
        <v>117608.45000000001</v>
      </c>
      <c r="AQ61" s="4">
        <f t="shared" si="28"/>
        <v>0.46927001037427185</v>
      </c>
      <c r="AR61">
        <f t="shared" si="29"/>
        <v>3085</v>
      </c>
      <c r="AS61" s="6">
        <f t="shared" si="13"/>
        <v>38.290960451977398</v>
      </c>
      <c r="AT61" s="39"/>
      <c r="AU61" s="32">
        <f t="shared" si="30"/>
        <v>0</v>
      </c>
      <c r="AV61" s="30">
        <f t="shared" si="46"/>
        <v>31376.95</v>
      </c>
      <c r="AW61" s="33">
        <f t="shared" si="31"/>
        <v>443168.02</v>
      </c>
      <c r="AX61" s="16">
        <f t="shared" si="47"/>
        <v>3749.2345999999998</v>
      </c>
      <c r="AY61" s="16">
        <f t="shared" si="32"/>
        <v>41925.633000000002</v>
      </c>
      <c r="AZ61" s="16">
        <f t="shared" si="33"/>
        <v>38656.423927893549</v>
      </c>
      <c r="BA61" s="16">
        <f t="shared" si="34"/>
        <v>57449.500738119037</v>
      </c>
      <c r="BB61" s="34">
        <f t="shared" si="15"/>
        <v>96105.924666012594</v>
      </c>
      <c r="BC61" s="14">
        <f t="shared" si="35"/>
        <v>31.152649810701003</v>
      </c>
      <c r="BD61" s="35">
        <f t="shared" si="16"/>
        <v>1.0158718973785312</v>
      </c>
      <c r="BE61" s="31">
        <f t="shared" si="17"/>
        <v>11.326230274800341</v>
      </c>
      <c r="BF61" s="36">
        <f t="shared" si="36"/>
        <v>0.5744950073811903</v>
      </c>
    </row>
    <row r="62" spans="1:58" s="18" customFormat="1" x14ac:dyDescent="0.2">
      <c r="A62" s="18" t="s">
        <v>8</v>
      </c>
      <c r="B62" s="32"/>
      <c r="C62" s="17"/>
      <c r="D62" s="11">
        <v>31</v>
      </c>
      <c r="E62" s="137">
        <v>292800</v>
      </c>
      <c r="F62" s="136">
        <v>840.2</v>
      </c>
      <c r="G62" s="136">
        <v>431.7</v>
      </c>
      <c r="H62" s="129">
        <v>18183.668399999999</v>
      </c>
      <c r="I62" s="11">
        <v>361</v>
      </c>
      <c r="J62" s="11">
        <v>49</v>
      </c>
      <c r="K62" s="24">
        <f t="shared" si="18"/>
        <v>4870500</v>
      </c>
      <c r="L62" s="24">
        <f t="shared" si="19"/>
        <v>3100</v>
      </c>
      <c r="M62" s="16">
        <f t="shared" si="3"/>
        <v>999.32639999999992</v>
      </c>
      <c r="N62" s="16">
        <f t="shared" si="20"/>
        <v>16623.016499999998</v>
      </c>
      <c r="O62" s="16">
        <f t="shared" si="4"/>
        <v>9445.1612903225814</v>
      </c>
      <c r="P62" s="16">
        <f t="shared" si="21"/>
        <v>13306.116281834808</v>
      </c>
      <c r="Q62" s="27">
        <f t="shared" si="37"/>
        <v>-0.24605098425721211</v>
      </c>
      <c r="R62" s="27">
        <f t="shared" si="43"/>
        <v>0.13614827901766088</v>
      </c>
      <c r="S62" s="86">
        <f t="shared" si="42"/>
        <v>999.125</v>
      </c>
      <c r="T62" s="27">
        <f t="shared" si="38"/>
        <v>-2.9455931616033267E-2</v>
      </c>
      <c r="U62" s="27">
        <f t="shared" si="45"/>
        <v>8.0553728020764548E-2</v>
      </c>
      <c r="V62" s="25">
        <f t="shared" si="5"/>
        <v>0.46839846119587497</v>
      </c>
      <c r="W62" s="134">
        <f t="shared" si="6"/>
        <v>0.66058652409780638</v>
      </c>
      <c r="X62" s="26">
        <f t="shared" si="7"/>
        <v>6.2102692622950817E-2</v>
      </c>
      <c r="Y62" s="33">
        <f t="shared" si="22"/>
        <v>320255.5184</v>
      </c>
      <c r="Z62" s="29">
        <f t="shared" si="23"/>
        <v>6.575413579714609E-2</v>
      </c>
      <c r="AA62" s="17">
        <v>40634</v>
      </c>
      <c r="AB62" s="39">
        <v>31</v>
      </c>
      <c r="AC62" s="131">
        <v>19690</v>
      </c>
      <c r="AD62" s="129">
        <v>9239.925874730021</v>
      </c>
      <c r="AE62" s="131">
        <f t="shared" si="8"/>
        <v>361</v>
      </c>
      <c r="AF62" s="131">
        <f t="shared" si="9"/>
        <v>49</v>
      </c>
      <c r="AG62" s="3">
        <f t="shared" si="24"/>
        <v>242530</v>
      </c>
      <c r="AH62" s="3">
        <f t="shared" si="10"/>
        <v>1969</v>
      </c>
      <c r="AI62" s="3">
        <f t="shared" si="25"/>
        <v>24253</v>
      </c>
      <c r="AJ62" s="37">
        <f t="shared" si="11"/>
        <v>635.16129032258061</v>
      </c>
      <c r="AK62" s="37">
        <f t="shared" si="26"/>
        <v>365</v>
      </c>
      <c r="AL62" s="16">
        <f t="shared" si="27"/>
        <v>664.46575342465758</v>
      </c>
      <c r="AM62" s="27">
        <f t="shared" si="39"/>
        <v>-0.31408067999721317</v>
      </c>
      <c r="AN62" s="27">
        <f t="shared" si="44"/>
        <v>9.3919196049639886E-2</v>
      </c>
      <c r="AO62" s="41">
        <f t="shared" si="12"/>
        <v>0.46926997840172785</v>
      </c>
      <c r="AP62" s="5">
        <f t="shared" si="40"/>
        <v>113812.05587473002</v>
      </c>
      <c r="AQ62" s="4">
        <f t="shared" si="28"/>
        <v>0.4692700114407703</v>
      </c>
      <c r="AR62">
        <f t="shared" si="29"/>
        <v>3100</v>
      </c>
      <c r="AS62" s="6">
        <f t="shared" si="13"/>
        <v>54.54293628808864</v>
      </c>
      <c r="AT62" s="39"/>
      <c r="AU62" s="32">
        <f t="shared" si="30"/>
        <v>0</v>
      </c>
      <c r="AV62" s="30">
        <f t="shared" si="46"/>
        <v>27423.594274730021</v>
      </c>
      <c r="AW62" s="33">
        <f t="shared" si="31"/>
        <v>434067.57427473</v>
      </c>
      <c r="AX62" s="16">
        <f t="shared" si="47"/>
        <v>2968.3263999999999</v>
      </c>
      <c r="AY62" s="16">
        <f t="shared" si="32"/>
        <v>40876.016499999991</v>
      </c>
      <c r="AZ62" s="16">
        <f t="shared" si="33"/>
        <v>38104.859894921188</v>
      </c>
      <c r="BA62" s="16">
        <f t="shared" si="34"/>
        <v>55595.033971813937</v>
      </c>
      <c r="BB62" s="34">
        <f t="shared" si="15"/>
        <v>93699.893866735118</v>
      </c>
      <c r="BC62" s="14">
        <f t="shared" si="35"/>
        <v>30.225772215075846</v>
      </c>
      <c r="BD62" s="35">
        <f t="shared" si="16"/>
        <v>0.9950109898926518</v>
      </c>
      <c r="BE62" s="31">
        <f t="shared" si="17"/>
        <v>11.1646234676007</v>
      </c>
      <c r="BF62" s="36">
        <f t="shared" si="36"/>
        <v>0.55595033971813934</v>
      </c>
    </row>
    <row r="63" spans="1:58" s="18" customFormat="1" x14ac:dyDescent="0.2">
      <c r="A63" s="18" t="s">
        <v>9</v>
      </c>
      <c r="B63" s="32"/>
      <c r="C63" s="17"/>
      <c r="D63" s="11">
        <v>30</v>
      </c>
      <c r="E63" s="137">
        <v>335100</v>
      </c>
      <c r="F63" s="136">
        <v>974.3</v>
      </c>
      <c r="G63" s="136">
        <v>512.5</v>
      </c>
      <c r="H63" s="129">
        <v>20854.055100000005</v>
      </c>
      <c r="I63" s="11">
        <v>85</v>
      </c>
      <c r="J63" s="11">
        <v>60</v>
      </c>
      <c r="K63" s="24">
        <f t="shared" si="18"/>
        <v>4815000</v>
      </c>
      <c r="L63" s="24">
        <f t="shared" si="19"/>
        <v>3135</v>
      </c>
      <c r="M63" s="16">
        <f t="shared" si="3"/>
        <v>1143.6962999999998</v>
      </c>
      <c r="N63" s="16">
        <f t="shared" si="20"/>
        <v>16433.594999999998</v>
      </c>
      <c r="O63" s="16">
        <f t="shared" si="4"/>
        <v>11170</v>
      </c>
      <c r="P63" s="16">
        <f t="shared" si="21"/>
        <v>13114.535822064696</v>
      </c>
      <c r="Q63" s="27">
        <f t="shared" si="37"/>
        <v>-0.17068612391193033</v>
      </c>
      <c r="R63" s="27">
        <f t="shared" si="43"/>
        <v>9.6088705533453694E-2</v>
      </c>
      <c r="S63" s="86">
        <f t="shared" si="42"/>
        <v>1009.3916666666665</v>
      </c>
      <c r="T63" s="27">
        <f t="shared" si="38"/>
        <v>0.14475384796146154</v>
      </c>
      <c r="U63" s="27">
        <f t="shared" si="45"/>
        <v>0.10061424391662233</v>
      </c>
      <c r="V63" s="25">
        <f t="shared" si="5"/>
        <v>0.47769338670498479</v>
      </c>
      <c r="W63" s="134">
        <f t="shared" si="6"/>
        <v>0.65529997309658328</v>
      </c>
      <c r="X63" s="26">
        <f t="shared" si="7"/>
        <v>6.2232333930170115E-2</v>
      </c>
      <c r="Y63" s="33">
        <f t="shared" si="22"/>
        <v>316162.61349999998</v>
      </c>
      <c r="Z63" s="29">
        <f t="shared" si="23"/>
        <v>6.5662017341640705E-2</v>
      </c>
      <c r="AA63" s="17">
        <v>40664</v>
      </c>
      <c r="AB63" s="39">
        <v>30</v>
      </c>
      <c r="AC63" s="131">
        <v>10480</v>
      </c>
      <c r="AD63" s="129">
        <v>4917.9493736501081</v>
      </c>
      <c r="AE63" s="131">
        <f t="shared" si="8"/>
        <v>85</v>
      </c>
      <c r="AF63" s="131">
        <f t="shared" si="9"/>
        <v>60</v>
      </c>
      <c r="AG63" s="3">
        <f t="shared" si="24"/>
        <v>233040</v>
      </c>
      <c r="AH63" s="3">
        <f t="shared" si="10"/>
        <v>1048</v>
      </c>
      <c r="AI63" s="3">
        <f t="shared" si="25"/>
        <v>23304</v>
      </c>
      <c r="AJ63" s="37">
        <f t="shared" si="11"/>
        <v>349.33333333333331</v>
      </c>
      <c r="AK63" s="37">
        <f t="shared" si="26"/>
        <v>365</v>
      </c>
      <c r="AL63" s="16">
        <f t="shared" si="27"/>
        <v>638.46575342465758</v>
      </c>
      <c r="AM63" s="27">
        <f t="shared" si="39"/>
        <v>-0.47521281922884329</v>
      </c>
      <c r="AN63" s="27">
        <f t="shared" si="44"/>
        <v>1.4278070294485079E-2</v>
      </c>
      <c r="AO63" s="41">
        <f t="shared" si="12"/>
        <v>0.46926997840172785</v>
      </c>
      <c r="AP63" s="5">
        <f t="shared" si="40"/>
        <v>109358.68524838012</v>
      </c>
      <c r="AQ63" s="4">
        <f t="shared" si="28"/>
        <v>0.4692700190884832</v>
      </c>
      <c r="AR63">
        <f t="shared" si="29"/>
        <v>3135</v>
      </c>
      <c r="AS63" s="6">
        <f t="shared" si="13"/>
        <v>123.29411764705883</v>
      </c>
      <c r="AT63" s="39"/>
      <c r="AU63" s="32">
        <f t="shared" si="30"/>
        <v>0</v>
      </c>
      <c r="AV63" s="30">
        <f t="shared" si="46"/>
        <v>25772.004473650115</v>
      </c>
      <c r="AW63" s="33">
        <f>SUM(AV52:AV63)</f>
        <v>425521.29874838021</v>
      </c>
      <c r="AX63" s="16">
        <f t="shared" si="47"/>
        <v>2191.6962999999996</v>
      </c>
      <c r="AY63" s="16">
        <f>SUM(AX52:AX63)</f>
        <v>39737.595000000001</v>
      </c>
      <c r="AZ63" s="16">
        <f t="shared" si="33"/>
        <v>37670.649911517401</v>
      </c>
      <c r="BA63" s="16">
        <f t="shared" si="34"/>
        <v>53419.645886247148</v>
      </c>
      <c r="BB63" s="34">
        <f t="shared" si="15"/>
        <v>91090.295797764556</v>
      </c>
      <c r="BC63" s="14">
        <f t="shared" si="35"/>
        <v>29.05591572496477</v>
      </c>
      <c r="BD63" s="35">
        <f t="shared" si="16"/>
        <v>0.97542040405915087</v>
      </c>
      <c r="BE63" s="31">
        <f t="shared" si="17"/>
        <v>11.037401087464813</v>
      </c>
      <c r="BF63" s="36">
        <f t="shared" si="36"/>
        <v>0.53419645886247147</v>
      </c>
    </row>
    <row r="64" spans="1:58" s="18" customFormat="1" x14ac:dyDescent="0.2">
      <c r="A64" s="18" t="s">
        <v>10</v>
      </c>
      <c r="B64" s="32"/>
      <c r="C64" s="17"/>
      <c r="D64" s="11">
        <v>31</v>
      </c>
      <c r="E64" s="137">
        <v>363000</v>
      </c>
      <c r="F64" s="136">
        <v>1188.8</v>
      </c>
      <c r="G64" s="136">
        <v>631.20000000000005</v>
      </c>
      <c r="H64" s="129">
        <v>28631.053600000003</v>
      </c>
      <c r="I64" s="11">
        <v>53</v>
      </c>
      <c r="J64" s="11">
        <v>66</v>
      </c>
      <c r="K64" s="24">
        <f t="shared" si="18"/>
        <v>4717500</v>
      </c>
      <c r="L64" s="24">
        <f t="shared" si="19"/>
        <v>3173</v>
      </c>
      <c r="M64" s="16">
        <f t="shared" si="3"/>
        <v>1238.9189999999999</v>
      </c>
      <c r="N64" s="16">
        <f t="shared" si="20"/>
        <v>16100.827499999996</v>
      </c>
      <c r="O64" s="16">
        <f t="shared" si="4"/>
        <v>11709.677419354839</v>
      </c>
      <c r="P64" s="16">
        <f t="shared" si="21"/>
        <v>12927.463485798811</v>
      </c>
      <c r="Q64" s="27">
        <f t="shared" si="37"/>
        <v>-0.16087002206577697</v>
      </c>
      <c r="R64" s="27">
        <f t="shared" si="43"/>
        <v>5.9391288550722933E-2</v>
      </c>
      <c r="S64" s="86">
        <f t="shared" si="42"/>
        <v>1021.9833333333332</v>
      </c>
      <c r="T64" s="27">
        <f t="shared" si="38"/>
        <v>0.14561048472583588</v>
      </c>
      <c r="U64" s="27">
        <f t="shared" si="45"/>
        <v>0.10803118873157967</v>
      </c>
      <c r="V64" s="25">
        <f t="shared" si="5"/>
        <v>0.41041657621673255</v>
      </c>
      <c r="W64" s="134">
        <f t="shared" si="6"/>
        <v>0.65318681318681315</v>
      </c>
      <c r="X64" s="26">
        <f t="shared" si="7"/>
        <v>7.8873425895316818E-2</v>
      </c>
      <c r="Y64" s="33">
        <f t="shared" si="22"/>
        <v>312809.31709999999</v>
      </c>
      <c r="Z64" s="29">
        <f t="shared" si="23"/>
        <v>6.6308281314255424E-2</v>
      </c>
      <c r="AA64" s="17">
        <v>40695</v>
      </c>
      <c r="AB64" s="39">
        <v>31</v>
      </c>
      <c r="AC64" s="131">
        <v>13260</v>
      </c>
      <c r="AD64" s="129">
        <v>6222.5199136069114</v>
      </c>
      <c r="AE64" s="131">
        <f t="shared" si="8"/>
        <v>53</v>
      </c>
      <c r="AF64" s="131">
        <f t="shared" si="9"/>
        <v>66</v>
      </c>
      <c r="AG64" s="3">
        <f t="shared" si="24"/>
        <v>228790</v>
      </c>
      <c r="AH64" s="3">
        <f t="shared" si="10"/>
        <v>1326</v>
      </c>
      <c r="AI64" s="3">
        <f t="shared" si="25"/>
        <v>22879</v>
      </c>
      <c r="AJ64" s="37">
        <f t="shared" si="11"/>
        <v>427.74193548387098</v>
      </c>
      <c r="AK64" s="37">
        <f t="shared" si="26"/>
        <v>365</v>
      </c>
      <c r="AL64" s="16">
        <f t="shared" si="27"/>
        <v>626.82191780821915</v>
      </c>
      <c r="AM64" s="27">
        <f t="shared" si="39"/>
        <v>-0.24271844660194178</v>
      </c>
      <c r="AN64" s="27">
        <f t="shared" si="44"/>
        <v>-4.7056851346148024E-2</v>
      </c>
      <c r="AO64" s="41">
        <f t="shared" si="12"/>
        <v>0.46926997840172785</v>
      </c>
      <c r="AP64" s="5">
        <f t="shared" si="40"/>
        <v>107364.28516198705</v>
      </c>
      <c r="AQ64" s="4">
        <f t="shared" si="28"/>
        <v>0.46927000813841097</v>
      </c>
      <c r="AR64">
        <f t="shared" si="29"/>
        <v>3173</v>
      </c>
      <c r="AS64" s="6">
        <f t="shared" si="13"/>
        <v>250.18867924528303</v>
      </c>
      <c r="AT64" s="39"/>
      <c r="AU64" s="32">
        <f t="shared" si="30"/>
        <v>0</v>
      </c>
      <c r="AV64" s="30">
        <f t="shared" si="46"/>
        <v>34853.573513606912</v>
      </c>
      <c r="AW64" s="33">
        <f>SUM(AV53:AV64)</f>
        <v>420173.60226198711</v>
      </c>
      <c r="AX64" s="16">
        <f t="shared" si="47"/>
        <v>2564.9189999999999</v>
      </c>
      <c r="AY64" s="16">
        <f>SUM(AX53:AX64)</f>
        <v>38979.827500000007</v>
      </c>
      <c r="AZ64" s="16">
        <f t="shared" si="33"/>
        <v>36907.848589321562</v>
      </c>
      <c r="BA64" s="16">
        <f t="shared" si="34"/>
        <v>52445.420452774139</v>
      </c>
      <c r="BB64" s="34">
        <f t="shared" si="15"/>
        <v>89353.269042095722</v>
      </c>
      <c r="BC64" s="14">
        <f t="shared" si="35"/>
        <v>28.160500801164741</v>
      </c>
      <c r="BD64" s="35">
        <f t="shared" si="16"/>
        <v>0.96316190540611935</v>
      </c>
      <c r="BE64" s="31">
        <f t="shared" si="17"/>
        <v>10.813902311550416</v>
      </c>
      <c r="BF64" s="36">
        <f t="shared" si="36"/>
        <v>0.52445420452774139</v>
      </c>
    </row>
    <row r="65" spans="1:58" s="18" customFormat="1" x14ac:dyDescent="0.2">
      <c r="A65" s="18" t="s">
        <v>11</v>
      </c>
      <c r="B65" s="32"/>
      <c r="C65" s="17"/>
      <c r="D65" s="11">
        <v>30</v>
      </c>
      <c r="E65" s="137">
        <v>335100</v>
      </c>
      <c r="F65" s="136">
        <v>903.5</v>
      </c>
      <c r="G65" s="136">
        <v>610.4</v>
      </c>
      <c r="H65" s="129">
        <v>25212.181000000004</v>
      </c>
      <c r="I65" s="11">
        <v>0</v>
      </c>
      <c r="J65" s="11">
        <v>81</v>
      </c>
      <c r="K65" s="24">
        <f t="shared" si="18"/>
        <v>4648500</v>
      </c>
      <c r="L65" s="24">
        <f t="shared" si="19"/>
        <v>3173</v>
      </c>
      <c r="M65" s="16">
        <f t="shared" si="3"/>
        <v>1143.6962999999998</v>
      </c>
      <c r="N65" s="16">
        <f t="shared" si="20"/>
        <v>15865.330499999996</v>
      </c>
      <c r="O65" s="16">
        <f t="shared" si="4"/>
        <v>11170</v>
      </c>
      <c r="P65" s="16">
        <f t="shared" si="21"/>
        <v>12697.089922580419</v>
      </c>
      <c r="Q65" s="27">
        <f t="shared" si="37"/>
        <v>-0.19839148725562983</v>
      </c>
      <c r="R65" s="27">
        <f t="shared" si="43"/>
        <v>2.6461444763844353E-2</v>
      </c>
      <c r="S65" s="86">
        <f t="shared" si="42"/>
        <v>1022.2333333333332</v>
      </c>
      <c r="T65" s="27">
        <f t="shared" si="38"/>
        <v>3.3314825097168241E-3</v>
      </c>
      <c r="U65" s="27">
        <f t="shared" si="45"/>
        <v>0.12349794841735041</v>
      </c>
      <c r="V65" s="25">
        <f t="shared" si="5"/>
        <v>0.51512636045010141</v>
      </c>
      <c r="W65" s="134">
        <f t="shared" si="6"/>
        <v>0.5968029592443358</v>
      </c>
      <c r="X65" s="26">
        <f t="shared" si="7"/>
        <v>7.5237782751417501E-2</v>
      </c>
      <c r="Y65" s="33">
        <f t="shared" si="22"/>
        <v>310000.05809999997</v>
      </c>
      <c r="Z65" s="29">
        <f t="shared" si="23"/>
        <v>6.6688191481122941E-2</v>
      </c>
      <c r="AA65" s="17">
        <v>40725</v>
      </c>
      <c r="AB65" s="39">
        <v>30</v>
      </c>
      <c r="AC65" s="131">
        <v>6400</v>
      </c>
      <c r="AD65" s="129">
        <v>3003.3278617710585</v>
      </c>
      <c r="AE65" s="131">
        <f t="shared" si="8"/>
        <v>0</v>
      </c>
      <c r="AF65" s="131">
        <f t="shared" si="9"/>
        <v>81</v>
      </c>
      <c r="AG65" s="3">
        <f t="shared" si="24"/>
        <v>226680</v>
      </c>
      <c r="AH65" s="3">
        <f t="shared" si="10"/>
        <v>640</v>
      </c>
      <c r="AI65" s="3">
        <f t="shared" si="25"/>
        <v>22668</v>
      </c>
      <c r="AJ65" s="37">
        <f t="shared" si="11"/>
        <v>213.33333333333334</v>
      </c>
      <c r="AK65" s="37">
        <f t="shared" si="26"/>
        <v>365</v>
      </c>
      <c r="AL65" s="16">
        <f t="shared" si="27"/>
        <v>621.04109589041093</v>
      </c>
      <c r="AM65" s="27">
        <f t="shared" si="39"/>
        <v>-0.24794359576968275</v>
      </c>
      <c r="AN65" s="27">
        <f t="shared" si="44"/>
        <v>-6.428677137253376E-2</v>
      </c>
      <c r="AO65" s="41">
        <f t="shared" si="12"/>
        <v>0.46926997840172791</v>
      </c>
      <c r="AP65" s="5">
        <f t="shared" si="40"/>
        <v>106374.12302375809</v>
      </c>
      <c r="AQ65" s="4">
        <f t="shared" si="28"/>
        <v>0.46926999745790582</v>
      </c>
      <c r="AR65">
        <f t="shared" si="29"/>
        <v>3173</v>
      </c>
      <c r="AS65" s="6" t="e">
        <f t="shared" si="13"/>
        <v>#DIV/0!</v>
      </c>
      <c r="AT65" s="39"/>
      <c r="AU65" s="32">
        <f t="shared" si="30"/>
        <v>0</v>
      </c>
      <c r="AV65" s="30">
        <f t="shared" si="46"/>
        <v>28215.508861771064</v>
      </c>
      <c r="AW65" s="33">
        <f>SUM(AV54:AV65)</f>
        <v>416374.18112375814</v>
      </c>
      <c r="AX65" s="16">
        <f t="shared" si="47"/>
        <v>1783.6962999999998</v>
      </c>
      <c r="AY65" s="16">
        <f>SUM(AX54:AX65)</f>
        <v>38533.330500000011</v>
      </c>
      <c r="AZ65" s="16">
        <f t="shared" si="33"/>
        <v>36368.019961306047</v>
      </c>
      <c r="BA65" s="16">
        <f t="shared" si="34"/>
        <v>51961.746178744004</v>
      </c>
      <c r="BB65" s="34">
        <f t="shared" si="15"/>
        <v>88329.76614005008</v>
      </c>
      <c r="BC65" s="14">
        <f t="shared" si="35"/>
        <v>27.837934491033746</v>
      </c>
      <c r="BD65" s="35">
        <f t="shared" si="16"/>
        <v>0.95445251080532489</v>
      </c>
      <c r="BE65" s="31">
        <f t="shared" si="17"/>
        <v>10.655733947057152</v>
      </c>
      <c r="BF65" s="36">
        <f t="shared" si="36"/>
        <v>0.51961746178744006</v>
      </c>
    </row>
    <row r="66" spans="1:58" s="18" customFormat="1" x14ac:dyDescent="0.2">
      <c r="A66" s="18" t="s">
        <v>12</v>
      </c>
      <c r="B66" s="32"/>
      <c r="C66" s="17"/>
      <c r="D66" s="11">
        <v>31</v>
      </c>
      <c r="E66" s="137">
        <v>358200</v>
      </c>
      <c r="F66" s="136">
        <v>1163.2</v>
      </c>
      <c r="G66" s="136">
        <v>667.5</v>
      </c>
      <c r="H66" s="140">
        <v>28503.93</v>
      </c>
      <c r="I66" s="11">
        <v>0</v>
      </c>
      <c r="J66" s="11">
        <v>87</v>
      </c>
      <c r="K66" s="24">
        <f t="shared" si="18"/>
        <v>4517700</v>
      </c>
      <c r="L66" s="24">
        <f t="shared" si="19"/>
        <v>3173</v>
      </c>
      <c r="M66" s="16">
        <f t="shared" si="3"/>
        <v>1222.5365999999999</v>
      </c>
      <c r="N66" s="16">
        <f t="shared" si="20"/>
        <v>15418.910099999997</v>
      </c>
      <c r="O66" s="16">
        <f t="shared" si="4"/>
        <v>11554.838709677419</v>
      </c>
      <c r="P66" s="16">
        <f t="shared" si="21"/>
        <v>12301.659815053536</v>
      </c>
      <c r="Q66" s="27">
        <f t="shared" si="37"/>
        <v>-0.29111418959034241</v>
      </c>
      <c r="R66" s="27">
        <f t="shared" si="43"/>
        <v>-3.2277640856050067E-2</v>
      </c>
      <c r="S66" s="86">
        <f t="shared" si="42"/>
        <v>1034.3583333333333</v>
      </c>
      <c r="T66" s="27">
        <f t="shared" si="38"/>
        <v>0.14296944089613833</v>
      </c>
      <c r="U66" s="27">
        <f t="shared" si="45"/>
        <v>0.11530132715134191</v>
      </c>
      <c r="V66" s="25">
        <f t="shared" si="5"/>
        <v>0.41390269334871543</v>
      </c>
      <c r="W66" s="134">
        <f t="shared" si="6"/>
        <v>0.63538537171573717</v>
      </c>
      <c r="X66" s="26">
        <f t="shared" si="7"/>
        <v>7.957546063651591E-2</v>
      </c>
      <c r="Y66" s="33">
        <f t="shared" si="22"/>
        <v>305034.35810000001</v>
      </c>
      <c r="Z66" s="29">
        <f t="shared" si="23"/>
        <v>6.751983489386193E-2</v>
      </c>
      <c r="AA66" s="17">
        <v>40756</v>
      </c>
      <c r="AB66" s="39">
        <v>31</v>
      </c>
      <c r="AC66" s="131">
        <v>4400</v>
      </c>
      <c r="AD66" s="129">
        <v>2064.7879049676026</v>
      </c>
      <c r="AE66" s="131">
        <f t="shared" si="8"/>
        <v>0</v>
      </c>
      <c r="AF66" s="131">
        <f t="shared" si="9"/>
        <v>87</v>
      </c>
      <c r="AG66" s="3">
        <f t="shared" si="24"/>
        <v>215980</v>
      </c>
      <c r="AH66" s="3">
        <f t="shared" si="10"/>
        <v>440</v>
      </c>
      <c r="AI66" s="3">
        <f t="shared" si="25"/>
        <v>21598</v>
      </c>
      <c r="AJ66" s="37">
        <f t="shared" si="11"/>
        <v>141.93548387096774</v>
      </c>
      <c r="AK66" s="37">
        <f t="shared" si="26"/>
        <v>365</v>
      </c>
      <c r="AL66" s="16">
        <f t="shared" si="27"/>
        <v>591.72602739726028</v>
      </c>
      <c r="AM66" s="27">
        <f t="shared" si="39"/>
        <v>-0.70860927152317887</v>
      </c>
      <c r="AN66" s="27">
        <f t="shared" si="44"/>
        <v>-0.14140048643624842</v>
      </c>
      <c r="AO66" s="41">
        <f t="shared" si="12"/>
        <v>0.46926997840172785</v>
      </c>
      <c r="AP66" s="5">
        <f t="shared" si="40"/>
        <v>101352.93092872569</v>
      </c>
      <c r="AQ66" s="4">
        <f t="shared" si="28"/>
        <v>0.4692699830017858</v>
      </c>
      <c r="AR66">
        <f t="shared" si="29"/>
        <v>3173</v>
      </c>
      <c r="AS66" s="6" t="e">
        <f t="shared" si="13"/>
        <v>#DIV/0!</v>
      </c>
      <c r="AT66" s="39"/>
      <c r="AU66" s="32">
        <f t="shared" si="30"/>
        <v>0</v>
      </c>
      <c r="AV66" s="30">
        <f t="shared" si="46"/>
        <v>30568.717904967601</v>
      </c>
      <c r="AW66" s="33">
        <f>SUM(AV55:AV66)</f>
        <v>406387.28902872576</v>
      </c>
      <c r="AX66" s="16">
        <f t="shared" si="47"/>
        <v>1662.5365999999999</v>
      </c>
      <c r="AY66" s="16">
        <f>SUM(AX55:AX66)</f>
        <v>37016.910100000001</v>
      </c>
      <c r="AZ66" s="16">
        <f t="shared" si="33"/>
        <v>35344.692649067947</v>
      </c>
      <c r="BA66" s="16">
        <f t="shared" si="34"/>
        <v>49508.990381529606</v>
      </c>
      <c r="BB66" s="34">
        <f t="shared" si="15"/>
        <v>84853.68303059756</v>
      </c>
      <c r="BC66" s="14">
        <f t="shared" si="35"/>
        <v>26.742415074250729</v>
      </c>
      <c r="BD66" s="35">
        <f t="shared" si="16"/>
        <v>0.93155960661631054</v>
      </c>
      <c r="BE66" s="31">
        <f t="shared" si="17"/>
        <v>10.355901743061223</v>
      </c>
      <c r="BF66" s="36">
        <f t="shared" si="36"/>
        <v>0.49508990381529605</v>
      </c>
    </row>
    <row r="67" spans="1:58" s="18" customFormat="1" x14ac:dyDescent="0.2">
      <c r="A67" s="18" t="s">
        <v>13</v>
      </c>
      <c r="B67" s="32"/>
      <c r="C67" s="17"/>
      <c r="D67" s="11"/>
      <c r="E67" s="11"/>
      <c r="F67" s="11"/>
      <c r="G67" s="11"/>
      <c r="H67" s="11"/>
      <c r="I67" s="11"/>
      <c r="J67" s="11">
        <v>84</v>
      </c>
      <c r="K67" s="24" t="str">
        <f t="shared" si="18"/>
        <v/>
      </c>
      <c r="L67" s="24" t="str">
        <f t="shared" si="19"/>
        <v/>
      </c>
      <c r="M67" s="16">
        <f t="shared" si="3"/>
        <v>0</v>
      </c>
      <c r="N67" s="16">
        <f t="shared" si="20"/>
        <v>13460.189399999997</v>
      </c>
      <c r="O67" s="16" t="str">
        <f t="shared" si="4"/>
        <v/>
      </c>
      <c r="P67" s="16" t="str">
        <f t="shared" si="21"/>
        <v/>
      </c>
      <c r="Q67" s="27" t="str">
        <f t="shared" si="37"/>
        <v/>
      </c>
      <c r="R67" s="27" t="str">
        <f t="shared" si="43"/>
        <v/>
      </c>
      <c r="S67" s="86" t="str">
        <f t="shared" si="42"/>
        <v/>
      </c>
      <c r="T67" s="27" t="str">
        <f t="shared" si="38"/>
        <v/>
      </c>
      <c r="U67" s="27" t="str">
        <f t="shared" si="45"/>
        <v/>
      </c>
      <c r="V67" s="25" t="str">
        <f t="shared" ref="V67:V74" si="52">IF(D67=0,"",IF(E67=0,"",IF(F67=0,"",E67/(D67*F67*24))))</f>
        <v/>
      </c>
      <c r="W67" s="25" t="str">
        <f t="shared" ref="W67:W74" si="53">IF(ISBLANK(G67),"",IF(E67=0,"",COS(ATAN(G67/E67))))</f>
        <v/>
      </c>
      <c r="X67" s="26" t="str">
        <f t="shared" si="7"/>
        <v/>
      </c>
      <c r="Y67" s="33" t="str">
        <f t="shared" si="22"/>
        <v/>
      </c>
      <c r="Z67" s="29" t="str">
        <f t="shared" si="23"/>
        <v/>
      </c>
      <c r="AA67" s="17"/>
      <c r="AB67" s="131"/>
      <c r="AC67" s="131"/>
      <c r="AD67" s="129"/>
      <c r="AE67" s="131">
        <f>I67</f>
        <v>0</v>
      </c>
      <c r="AF67" s="131">
        <f>J67</f>
        <v>84</v>
      </c>
      <c r="AG67" s="3" t="str">
        <f t="shared" si="24"/>
        <v/>
      </c>
      <c r="AH67" s="3">
        <f t="shared" si="10"/>
        <v>0</v>
      </c>
      <c r="AI67" s="3" t="str">
        <f t="shared" si="25"/>
        <v/>
      </c>
      <c r="AJ67" s="37" t="str">
        <f t="shared" si="11"/>
        <v/>
      </c>
      <c r="AK67" s="37" t="str">
        <f t="shared" si="26"/>
        <v/>
      </c>
      <c r="AL67" s="16" t="str">
        <f t="shared" si="27"/>
        <v/>
      </c>
      <c r="AM67" s="27" t="str">
        <f t="shared" si="39"/>
        <v/>
      </c>
      <c r="AN67" s="27" t="str">
        <f t="shared" si="44"/>
        <v/>
      </c>
      <c r="AO67" s="41" t="str">
        <f t="shared" si="12"/>
        <v/>
      </c>
      <c r="AP67" s="5" t="str">
        <f t="shared" si="40"/>
        <v/>
      </c>
      <c r="AQ67" s="4" t="str">
        <f t="shared" si="28"/>
        <v/>
      </c>
      <c r="AR67">
        <f t="shared" si="29"/>
        <v>3173</v>
      </c>
      <c r="AS67" s="6" t="str">
        <f t="shared" si="13"/>
        <v/>
      </c>
      <c r="AT67" s="39"/>
      <c r="AU67" s="32">
        <f t="shared" si="30"/>
        <v>0</v>
      </c>
      <c r="AV67" s="30">
        <f t="shared" si="46"/>
        <v>0</v>
      </c>
      <c r="AW67" s="33">
        <f t="shared" ref="AW67:AW74" si="54">SUM(AV56:AV67)</f>
        <v>360152.49902872572</v>
      </c>
      <c r="AX67" s="16">
        <f t="shared" si="47"/>
        <v>0</v>
      </c>
      <c r="AY67" s="16">
        <f t="shared" ref="AY67:AY74" si="55">SUM(AX56:AX67)</f>
        <v>33733.189400000003</v>
      </c>
      <c r="AZ67" s="16">
        <f t="shared" si="33"/>
        <v>30854.726712573694</v>
      </c>
      <c r="BA67" s="16" t="e">
        <f t="shared" si="34"/>
        <v>#VALUE!</v>
      </c>
      <c r="BB67" s="34">
        <f t="shared" si="15"/>
        <v>77326.426036805104</v>
      </c>
      <c r="BC67" s="14">
        <f t="shared" si="35"/>
        <v>24.3701311178081</v>
      </c>
      <c r="BD67" s="35">
        <f t="shared" ref="BD67:BD74" si="56">+AW67/$B$4</f>
        <v>0.82557582231211368</v>
      </c>
      <c r="BE67" s="31" t="e">
        <f t="shared" ref="BE67:BE74" si="57">+K67/$B$4</f>
        <v>#VALUE!</v>
      </c>
      <c r="BF67" s="36" t="e">
        <f t="shared" ref="BF67:BF74" si="58">+AG67/$B$4</f>
        <v>#VALUE!</v>
      </c>
    </row>
    <row r="68" spans="1:58" s="18" customFormat="1" x14ac:dyDescent="0.2">
      <c r="A68" s="18" t="s">
        <v>14</v>
      </c>
      <c r="B68" s="32"/>
      <c r="C68" s="17"/>
      <c r="D68" s="11"/>
      <c r="E68" s="11"/>
      <c r="F68" s="11"/>
      <c r="G68" s="11"/>
      <c r="H68" s="11"/>
      <c r="I68" s="11"/>
      <c r="J68" s="11"/>
      <c r="K68" s="24" t="str">
        <f t="shared" si="18"/>
        <v/>
      </c>
      <c r="L68" s="24" t="str">
        <f t="shared" si="19"/>
        <v/>
      </c>
      <c r="M68" s="16">
        <f t="shared" si="3"/>
        <v>0</v>
      </c>
      <c r="N68" s="16">
        <f t="shared" si="20"/>
        <v>11667.340499999998</v>
      </c>
      <c r="O68" s="16" t="str">
        <f t="shared" si="4"/>
        <v/>
      </c>
      <c r="P68" s="16" t="str">
        <f t="shared" si="21"/>
        <v/>
      </c>
      <c r="Q68" s="27" t="str">
        <f t="shared" si="37"/>
        <v/>
      </c>
      <c r="R68" s="27" t="str">
        <f t="shared" si="43"/>
        <v/>
      </c>
      <c r="S68" s="86" t="str">
        <f t="shared" si="42"/>
        <v/>
      </c>
      <c r="T68" s="27" t="str">
        <f t="shared" si="38"/>
        <v/>
      </c>
      <c r="U68" s="27" t="str">
        <f t="shared" si="45"/>
        <v/>
      </c>
      <c r="V68" s="25" t="str">
        <f t="shared" si="52"/>
        <v/>
      </c>
      <c r="W68" s="25" t="str">
        <f t="shared" si="53"/>
        <v/>
      </c>
      <c r="X68" s="26" t="str">
        <f t="shared" si="7"/>
        <v/>
      </c>
      <c r="Y68" s="33" t="str">
        <f t="shared" si="22"/>
        <v/>
      </c>
      <c r="Z68" s="29" t="str">
        <f t="shared" si="23"/>
        <v/>
      </c>
      <c r="AA68" s="17"/>
      <c r="AB68" s="11"/>
      <c r="AC68" s="11"/>
      <c r="AD68" s="11"/>
      <c r="AE68" s="131">
        <f t="shared" ref="AE68:AE84" si="59">I68</f>
        <v>0</v>
      </c>
      <c r="AF68" s="131">
        <f t="shared" ref="AF68:AF84" si="60">J68</f>
        <v>0</v>
      </c>
      <c r="AG68" s="3" t="str">
        <f t="shared" si="24"/>
        <v/>
      </c>
      <c r="AH68" s="3">
        <f t="shared" si="10"/>
        <v>0</v>
      </c>
      <c r="AI68" s="3" t="str">
        <f t="shared" si="25"/>
        <v/>
      </c>
      <c r="AJ68" s="37" t="str">
        <f t="shared" si="11"/>
        <v/>
      </c>
      <c r="AK68" s="37" t="str">
        <f t="shared" si="26"/>
        <v/>
      </c>
      <c r="AL68" s="16" t="str">
        <f t="shared" si="27"/>
        <v/>
      </c>
      <c r="AM68" s="27" t="str">
        <f t="shared" si="39"/>
        <v/>
      </c>
      <c r="AN68" s="27" t="str">
        <f t="shared" si="44"/>
        <v/>
      </c>
      <c r="AO68" s="41" t="str">
        <f t="shared" si="12"/>
        <v/>
      </c>
      <c r="AP68" s="5" t="str">
        <f t="shared" si="40"/>
        <v/>
      </c>
      <c r="AQ68" s="4" t="str">
        <f t="shared" si="28"/>
        <v/>
      </c>
      <c r="AR68">
        <f t="shared" si="29"/>
        <v>3167</v>
      </c>
      <c r="AS68" s="6" t="str">
        <f t="shared" si="13"/>
        <v/>
      </c>
      <c r="AT68" s="39"/>
      <c r="AU68" s="32">
        <f t="shared" si="30"/>
        <v>0</v>
      </c>
      <c r="AV68" s="30">
        <f t="shared" si="46"/>
        <v>0</v>
      </c>
      <c r="AW68" s="33">
        <f t="shared" si="54"/>
        <v>316745.18902872573</v>
      </c>
      <c r="AX68" s="16">
        <f t="shared" si="47"/>
        <v>0</v>
      </c>
      <c r="AY68" s="16">
        <f t="shared" si="55"/>
        <v>30618.340499999995</v>
      </c>
      <c r="AZ68" s="16">
        <f t="shared" si="33"/>
        <v>26744.987896681669</v>
      </c>
      <c r="BA68" s="16" t="e">
        <f t="shared" si="34"/>
        <v>#VALUE!</v>
      </c>
      <c r="BB68" s="34">
        <f t="shared" si="15"/>
        <v>70186.273049027601</v>
      </c>
      <c r="BC68" s="14">
        <f t="shared" si="35"/>
        <v>22.16175340986031</v>
      </c>
      <c r="BD68" s="35">
        <f t="shared" si="56"/>
        <v>0.72607345666353174</v>
      </c>
      <c r="BE68" s="31" t="e">
        <f t="shared" si="57"/>
        <v>#VALUE!</v>
      </c>
      <c r="BF68" s="36" t="e">
        <f t="shared" si="58"/>
        <v>#VALUE!</v>
      </c>
    </row>
    <row r="69" spans="1:58" s="18" customFormat="1" x14ac:dyDescent="0.2">
      <c r="A69" s="18" t="s">
        <v>15</v>
      </c>
      <c r="B69" s="32"/>
      <c r="C69" s="17"/>
      <c r="D69" s="11"/>
      <c r="E69" s="11"/>
      <c r="F69" s="11"/>
      <c r="G69" s="11"/>
      <c r="H69" s="11"/>
      <c r="I69" s="11"/>
      <c r="J69" s="11"/>
      <c r="K69" s="24" t="str">
        <f t="shared" si="18"/>
        <v/>
      </c>
      <c r="L69" s="24" t="str">
        <f t="shared" si="19"/>
        <v/>
      </c>
      <c r="M69" s="16">
        <f t="shared" si="3"/>
        <v>0</v>
      </c>
      <c r="N69" s="16">
        <f t="shared" si="20"/>
        <v>10287.123299999999</v>
      </c>
      <c r="O69" s="16" t="str">
        <f t="shared" si="4"/>
        <v/>
      </c>
      <c r="P69" s="16" t="str">
        <f t="shared" si="21"/>
        <v/>
      </c>
      <c r="Q69" s="27" t="str">
        <f t="shared" si="37"/>
        <v/>
      </c>
      <c r="R69" s="27" t="str">
        <f t="shared" si="43"/>
        <v/>
      </c>
      <c r="S69" s="86" t="str">
        <f t="shared" si="42"/>
        <v/>
      </c>
      <c r="T69" s="27" t="str">
        <f t="shared" si="38"/>
        <v/>
      </c>
      <c r="U69" s="27" t="str">
        <f t="shared" si="45"/>
        <v/>
      </c>
      <c r="V69" s="25" t="str">
        <f t="shared" si="52"/>
        <v/>
      </c>
      <c r="W69" s="25" t="str">
        <f t="shared" si="53"/>
        <v/>
      </c>
      <c r="X69" s="26" t="str">
        <f t="shared" si="7"/>
        <v/>
      </c>
      <c r="Y69" s="33" t="str">
        <f t="shared" si="22"/>
        <v/>
      </c>
      <c r="Z69" s="29" t="str">
        <f t="shared" si="23"/>
        <v/>
      </c>
      <c r="AA69" s="17"/>
      <c r="AB69" s="11"/>
      <c r="AC69" s="11"/>
      <c r="AD69" s="11"/>
      <c r="AE69" s="131">
        <f t="shared" si="59"/>
        <v>0</v>
      </c>
      <c r="AF69" s="131">
        <f t="shared" si="60"/>
        <v>0</v>
      </c>
      <c r="AG69" s="3" t="str">
        <f t="shared" si="24"/>
        <v/>
      </c>
      <c r="AH69" s="3">
        <f t="shared" si="10"/>
        <v>0</v>
      </c>
      <c r="AI69" s="3" t="str">
        <f t="shared" si="25"/>
        <v/>
      </c>
      <c r="AJ69" s="37" t="str">
        <f t="shared" si="11"/>
        <v/>
      </c>
      <c r="AK69" s="37" t="str">
        <f t="shared" si="26"/>
        <v/>
      </c>
      <c r="AL69" s="16" t="str">
        <f t="shared" si="27"/>
        <v/>
      </c>
      <c r="AM69" s="27" t="str">
        <f t="shared" si="39"/>
        <v/>
      </c>
      <c r="AN69" s="27" t="str">
        <f t="shared" si="44"/>
        <v/>
      </c>
      <c r="AO69" s="41" t="str">
        <f t="shared" si="12"/>
        <v/>
      </c>
      <c r="AP69" s="5" t="str">
        <f t="shared" si="40"/>
        <v/>
      </c>
      <c r="AQ69" s="4" t="str">
        <f t="shared" si="28"/>
        <v/>
      </c>
      <c r="AR69">
        <f t="shared" si="29"/>
        <v>3104</v>
      </c>
      <c r="AS69" s="6" t="str">
        <f t="shared" si="13"/>
        <v/>
      </c>
      <c r="AT69" s="39"/>
      <c r="AU69" s="32">
        <f t="shared" si="30"/>
        <v>0</v>
      </c>
      <c r="AV69" s="30">
        <f t="shared" si="46"/>
        <v>0</v>
      </c>
      <c r="AW69" s="33">
        <f t="shared" si="54"/>
        <v>282494.5390287257</v>
      </c>
      <c r="AX69" s="16">
        <f t="shared" si="47"/>
        <v>0</v>
      </c>
      <c r="AY69" s="16">
        <f t="shared" si="55"/>
        <v>27401.123299999996</v>
      </c>
      <c r="AZ69" s="16">
        <f t="shared" si="33"/>
        <v>23581.122720312487</v>
      </c>
      <c r="BA69" s="16" t="e">
        <f t="shared" si="34"/>
        <v>#VALUE!</v>
      </c>
      <c r="BB69" s="34">
        <f t="shared" si="15"/>
        <v>62811.461704917419</v>
      </c>
      <c r="BC69" s="14">
        <f t="shared" si="35"/>
        <v>20.235651322460509</v>
      </c>
      <c r="BD69" s="35">
        <f t="shared" si="56"/>
        <v>0.64756085820945553</v>
      </c>
      <c r="BE69" s="31" t="e">
        <f t="shared" si="57"/>
        <v>#VALUE!</v>
      </c>
      <c r="BF69" s="36" t="e">
        <f t="shared" si="58"/>
        <v>#VALUE!</v>
      </c>
    </row>
    <row r="70" spans="1:58" s="18" customFormat="1" x14ac:dyDescent="0.2">
      <c r="A70" s="18" t="s">
        <v>16</v>
      </c>
      <c r="B70" s="32"/>
      <c r="C70" s="17"/>
      <c r="D70" s="11"/>
      <c r="E70" s="11"/>
      <c r="F70" s="11"/>
      <c r="G70" s="11"/>
      <c r="H70" s="11"/>
      <c r="I70" s="11"/>
      <c r="J70" s="11"/>
      <c r="K70" s="24" t="str">
        <f t="shared" si="18"/>
        <v/>
      </c>
      <c r="L70" s="24" t="str">
        <f t="shared" si="19"/>
        <v/>
      </c>
      <c r="M70" s="16">
        <f t="shared" si="3"/>
        <v>0</v>
      </c>
      <c r="N70" s="16">
        <f t="shared" si="20"/>
        <v>9079.9451999999983</v>
      </c>
      <c r="O70" s="16" t="str">
        <f t="shared" si="4"/>
        <v/>
      </c>
      <c r="P70" s="16" t="str">
        <f t="shared" si="21"/>
        <v/>
      </c>
      <c r="Q70" s="27" t="str">
        <f t="shared" si="37"/>
        <v/>
      </c>
      <c r="R70" s="27" t="str">
        <f t="shared" si="43"/>
        <v/>
      </c>
      <c r="S70" s="86" t="str">
        <f t="shared" si="42"/>
        <v/>
      </c>
      <c r="T70" s="27" t="str">
        <f t="shared" si="38"/>
        <v/>
      </c>
      <c r="U70" s="27" t="str">
        <f t="shared" si="45"/>
        <v/>
      </c>
      <c r="V70" s="25" t="str">
        <f t="shared" si="52"/>
        <v/>
      </c>
      <c r="W70" s="25" t="str">
        <f t="shared" si="53"/>
        <v/>
      </c>
      <c r="X70" s="26" t="str">
        <f t="shared" si="7"/>
        <v/>
      </c>
      <c r="Y70" s="33" t="str">
        <f t="shared" si="22"/>
        <v/>
      </c>
      <c r="Z70" s="29" t="str">
        <f t="shared" si="23"/>
        <v/>
      </c>
      <c r="AA70" s="17"/>
      <c r="AB70" s="11"/>
      <c r="AC70" s="11"/>
      <c r="AD70" s="11"/>
      <c r="AE70" s="131">
        <f t="shared" si="59"/>
        <v>0</v>
      </c>
      <c r="AF70" s="131">
        <f t="shared" si="60"/>
        <v>0</v>
      </c>
      <c r="AG70" s="3" t="str">
        <f t="shared" si="24"/>
        <v/>
      </c>
      <c r="AH70" s="3">
        <f t="shared" si="10"/>
        <v>0</v>
      </c>
      <c r="AI70" s="3" t="str">
        <f t="shared" si="25"/>
        <v/>
      </c>
      <c r="AJ70" s="37" t="str">
        <f t="shared" si="11"/>
        <v/>
      </c>
      <c r="AK70" s="37" t="str">
        <f t="shared" si="26"/>
        <v/>
      </c>
      <c r="AL70" s="16" t="str">
        <f t="shared" si="27"/>
        <v/>
      </c>
      <c r="AM70" s="27" t="str">
        <f t="shared" si="39"/>
        <v/>
      </c>
      <c r="AN70" s="27" t="str">
        <f t="shared" si="44"/>
        <v/>
      </c>
      <c r="AO70" s="41" t="str">
        <f t="shared" si="12"/>
        <v/>
      </c>
      <c r="AP70" s="5" t="str">
        <f t="shared" si="40"/>
        <v/>
      </c>
      <c r="AQ70" s="4" t="str">
        <f t="shared" si="28"/>
        <v/>
      </c>
      <c r="AR70">
        <f t="shared" si="29"/>
        <v>2785</v>
      </c>
      <c r="AS70" s="6" t="str">
        <f t="shared" si="13"/>
        <v/>
      </c>
      <c r="AT70" s="39"/>
      <c r="AU70" s="32">
        <f t="shared" si="30"/>
        <v>0</v>
      </c>
      <c r="AV70" s="30">
        <f t="shared" si="46"/>
        <v>0</v>
      </c>
      <c r="AW70" s="33">
        <f t="shared" si="54"/>
        <v>252809.5690287257</v>
      </c>
      <c r="AX70" s="16">
        <f t="shared" si="47"/>
        <v>0</v>
      </c>
      <c r="AY70" s="16">
        <f t="shared" si="55"/>
        <v>24336.945199999998</v>
      </c>
      <c r="AZ70" s="16">
        <f t="shared" si="33"/>
        <v>20813.914231485127</v>
      </c>
      <c r="BA70" s="16" t="e">
        <f t="shared" si="34"/>
        <v>#VALUE!</v>
      </c>
      <c r="BB70" s="34">
        <f t="shared" si="15"/>
        <v>55787.461145597415</v>
      </c>
      <c r="BC70" s="14">
        <f t="shared" si="35"/>
        <v>20.03140436107627</v>
      </c>
      <c r="BD70" s="35">
        <f t="shared" si="56"/>
        <v>0.57951414581914185</v>
      </c>
      <c r="BE70" s="31" t="e">
        <f t="shared" si="57"/>
        <v>#VALUE!</v>
      </c>
      <c r="BF70" s="36" t="e">
        <f t="shared" si="58"/>
        <v>#VALUE!</v>
      </c>
    </row>
    <row r="71" spans="1:58" s="18" customFormat="1" x14ac:dyDescent="0.2">
      <c r="A71" s="18" t="s">
        <v>17</v>
      </c>
      <c r="B71" s="32"/>
      <c r="C71" s="17"/>
      <c r="D71" s="11"/>
      <c r="E71" s="11"/>
      <c r="F71" s="11"/>
      <c r="G71" s="11"/>
      <c r="H71" s="11"/>
      <c r="I71" s="11"/>
      <c r="J71" s="11"/>
      <c r="K71" s="24" t="str">
        <f t="shared" si="18"/>
        <v/>
      </c>
      <c r="L71" s="24" t="str">
        <f t="shared" si="19"/>
        <v/>
      </c>
      <c r="M71" s="16">
        <f t="shared" si="3"/>
        <v>0</v>
      </c>
      <c r="N71" s="16">
        <f t="shared" si="20"/>
        <v>7858.432499999999</v>
      </c>
      <c r="O71" s="16" t="str">
        <f t="shared" si="4"/>
        <v/>
      </c>
      <c r="P71" s="16" t="str">
        <f t="shared" si="21"/>
        <v/>
      </c>
      <c r="Q71" s="27" t="str">
        <f t="shared" si="37"/>
        <v/>
      </c>
      <c r="R71" s="27" t="str">
        <f t="shared" si="43"/>
        <v/>
      </c>
      <c r="S71" s="86" t="str">
        <f t="shared" si="42"/>
        <v/>
      </c>
      <c r="T71" s="27" t="str">
        <f t="shared" si="38"/>
        <v/>
      </c>
      <c r="U71" s="27" t="str">
        <f t="shared" si="45"/>
        <v/>
      </c>
      <c r="V71" s="25" t="str">
        <f t="shared" si="52"/>
        <v/>
      </c>
      <c r="W71" s="25" t="str">
        <f t="shared" si="53"/>
        <v/>
      </c>
      <c r="X71" s="26" t="str">
        <f>IF(ISBLANK(E71),"",+H71/E71)</f>
        <v/>
      </c>
      <c r="Y71" s="33" t="str">
        <f>IF(ISBLANK(E71),"",SUM(H60:H71))</f>
        <v/>
      </c>
      <c r="Z71" s="29" t="str">
        <f>IF(ISBLANK(E71),"",+Y71/K71)</f>
        <v/>
      </c>
      <c r="AA71" s="17"/>
      <c r="AB71" s="11"/>
      <c r="AC71" s="11"/>
      <c r="AD71" s="11"/>
      <c r="AE71" s="131">
        <f t="shared" si="59"/>
        <v>0</v>
      </c>
      <c r="AF71" s="131">
        <f t="shared" si="60"/>
        <v>0</v>
      </c>
      <c r="AG71" s="3" t="str">
        <f t="shared" si="24"/>
        <v/>
      </c>
      <c r="AH71" s="3">
        <f t="shared" si="10"/>
        <v>0</v>
      </c>
      <c r="AI71" s="3" t="str">
        <f t="shared" si="25"/>
        <v/>
      </c>
      <c r="AJ71" s="37" t="str">
        <f t="shared" si="11"/>
        <v/>
      </c>
      <c r="AK71" s="37" t="str">
        <f t="shared" si="26"/>
        <v/>
      </c>
      <c r="AL71" s="16" t="str">
        <f t="shared" si="27"/>
        <v/>
      </c>
      <c r="AM71" s="27" t="str">
        <f t="shared" si="39"/>
        <v/>
      </c>
      <c r="AN71" s="27" t="str">
        <f t="shared" si="44"/>
        <v/>
      </c>
      <c r="AO71" s="41" t="str">
        <f t="shared" si="12"/>
        <v/>
      </c>
      <c r="AP71" s="5" t="str">
        <f t="shared" si="40"/>
        <v/>
      </c>
      <c r="AQ71" s="4" t="str">
        <f t="shared" si="28"/>
        <v/>
      </c>
      <c r="AR71">
        <f t="shared" si="29"/>
        <v>2061</v>
      </c>
      <c r="AS71" s="6" t="str">
        <f t="shared" si="13"/>
        <v/>
      </c>
      <c r="AT71" s="39"/>
      <c r="AU71" s="32">
        <f t="shared" si="30"/>
        <v>0</v>
      </c>
      <c r="AV71" s="30">
        <f t="shared" si="46"/>
        <v>0</v>
      </c>
      <c r="AW71" s="33">
        <f t="shared" si="54"/>
        <v>215078.15902872573</v>
      </c>
      <c r="AX71" s="16">
        <f t="shared" si="47"/>
        <v>0</v>
      </c>
      <c r="AY71" s="16">
        <f t="shared" si="55"/>
        <v>19677.432499999999</v>
      </c>
      <c r="AZ71" s="16">
        <f t="shared" si="33"/>
        <v>18013.846608778571</v>
      </c>
      <c r="BA71" s="16" t="e">
        <f t="shared" si="34"/>
        <v>#VALUE!</v>
      </c>
      <c r="BB71" s="34">
        <f t="shared" si="15"/>
        <v>45106.482839878598</v>
      </c>
      <c r="BC71" s="14">
        <f t="shared" si="35"/>
        <v>21.885726753944006</v>
      </c>
      <c r="BD71" s="35">
        <f t="shared" si="56"/>
        <v>0.4930226181419704</v>
      </c>
      <c r="BE71" s="31" t="e">
        <f t="shared" si="57"/>
        <v>#VALUE!</v>
      </c>
      <c r="BF71" s="36" t="e">
        <f t="shared" si="58"/>
        <v>#VALUE!</v>
      </c>
    </row>
    <row r="72" spans="1:58" x14ac:dyDescent="0.2">
      <c r="A72" s="21" t="str">
        <f>IF(B72=2010,$BM$35,IF(B72=2011,$BN$35,IF(B72=2012,$BO$35,IF(B72=2013,$BP$35,IF(B72=2014,$BQ$35,IF(B72=2015,$BR$35,IF(B72=2016,$BS$35,"")))))))</f>
        <v>JAN 12</v>
      </c>
      <c r="B72" s="37">
        <f>B60+1</f>
        <v>2012</v>
      </c>
      <c r="C72" s="17"/>
      <c r="D72" s="11"/>
      <c r="E72" s="11"/>
      <c r="F72" s="11"/>
      <c r="G72" s="11"/>
      <c r="H72" s="11"/>
      <c r="I72" s="11"/>
      <c r="J72" s="11"/>
      <c r="K72" s="24" t="str">
        <f t="shared" si="18"/>
        <v/>
      </c>
      <c r="L72" s="24" t="str">
        <f t="shared" si="19"/>
        <v/>
      </c>
      <c r="M72" s="16">
        <f t="shared" si="3"/>
        <v>0</v>
      </c>
      <c r="N72" s="16">
        <f t="shared" si="20"/>
        <v>6786.4091999999982</v>
      </c>
      <c r="O72" s="16" t="str">
        <f t="shared" si="4"/>
        <v/>
      </c>
      <c r="P72" s="16" t="str">
        <f t="shared" si="21"/>
        <v/>
      </c>
      <c r="Q72" s="27" t="str">
        <f t="shared" si="37"/>
        <v/>
      </c>
      <c r="R72" s="27" t="str">
        <f t="shared" si="43"/>
        <v/>
      </c>
      <c r="S72" s="86" t="str">
        <f t="shared" si="42"/>
        <v/>
      </c>
      <c r="T72" s="27" t="str">
        <f t="shared" si="38"/>
        <v/>
      </c>
      <c r="U72" s="27" t="str">
        <f t="shared" si="45"/>
        <v/>
      </c>
      <c r="V72" s="25" t="str">
        <f t="shared" si="52"/>
        <v/>
      </c>
      <c r="W72" s="25" t="str">
        <f t="shared" si="53"/>
        <v/>
      </c>
      <c r="X72" s="26" t="str">
        <f>IF(ISBLANK(E72),"",+H72/E72)</f>
        <v/>
      </c>
      <c r="Y72" s="33" t="str">
        <f>IF(ISBLANK(E72),"",SUM(H61:H72))</f>
        <v/>
      </c>
      <c r="Z72" s="29" t="str">
        <f>IF(ISBLANK(E72),"",+Y72/K72)</f>
        <v/>
      </c>
      <c r="AA72" s="17"/>
      <c r="AB72" s="11"/>
      <c r="AC72" s="11"/>
      <c r="AD72" s="11"/>
      <c r="AE72" s="131">
        <f t="shared" si="59"/>
        <v>0</v>
      </c>
      <c r="AF72" s="131">
        <f t="shared" si="60"/>
        <v>0</v>
      </c>
      <c r="AG72" s="3" t="str">
        <f t="shared" si="24"/>
        <v/>
      </c>
      <c r="AH72" s="3">
        <f t="shared" si="10"/>
        <v>0</v>
      </c>
      <c r="AI72" s="3" t="str">
        <f t="shared" si="25"/>
        <v/>
      </c>
      <c r="AJ72" s="37" t="str">
        <f t="shared" si="11"/>
        <v/>
      </c>
      <c r="AK72" s="37" t="str">
        <f t="shared" si="26"/>
        <v/>
      </c>
      <c r="AL72" s="16" t="str">
        <f t="shared" si="27"/>
        <v/>
      </c>
      <c r="AM72" s="27" t="str">
        <f t="shared" si="39"/>
        <v/>
      </c>
      <c r="AN72" s="27" t="str">
        <f t="shared" si="44"/>
        <v/>
      </c>
      <c r="AO72" s="41" t="str">
        <f t="shared" si="12"/>
        <v/>
      </c>
      <c r="AP72" s="5" t="str">
        <f t="shared" si="40"/>
        <v/>
      </c>
      <c r="AQ72" s="4" t="str">
        <f t="shared" si="28"/>
        <v/>
      </c>
      <c r="AR72">
        <f t="shared" si="29"/>
        <v>1207</v>
      </c>
      <c r="AS72" s="6" t="str">
        <f t="shared" si="13"/>
        <v/>
      </c>
      <c r="AT72" s="39"/>
      <c r="AU72" s="1">
        <f t="shared" si="30"/>
        <v>0</v>
      </c>
      <c r="AV72" s="5">
        <f t="shared" si="46"/>
        <v>0</v>
      </c>
      <c r="AW72" s="9">
        <f t="shared" si="54"/>
        <v>178210.34902872573</v>
      </c>
      <c r="AX72" s="3">
        <f t="shared" si="47"/>
        <v>0</v>
      </c>
      <c r="AY72" s="3">
        <f t="shared" si="55"/>
        <v>14920.409199999998</v>
      </c>
      <c r="AZ72" s="3">
        <f t="shared" si="33"/>
        <v>15556.452810812294</v>
      </c>
      <c r="BA72" s="3" t="e">
        <f t="shared" si="34"/>
        <v>#VALUE!</v>
      </c>
      <c r="BB72" s="10">
        <f t="shared" si="15"/>
        <v>34201.981459916926</v>
      </c>
      <c r="BC72" s="14">
        <f t="shared" si="35"/>
        <v>28.336355807719077</v>
      </c>
      <c r="BD72" s="2">
        <f t="shared" si="56"/>
        <v>0.40851071654561605</v>
      </c>
      <c r="BE72" s="6" t="e">
        <f t="shared" si="57"/>
        <v>#VALUE!</v>
      </c>
      <c r="BF72" s="15" t="e">
        <f t="shared" si="58"/>
        <v>#VALUE!</v>
      </c>
    </row>
    <row r="73" spans="1:58" x14ac:dyDescent="0.2">
      <c r="A73" s="18" t="s">
        <v>7</v>
      </c>
      <c r="B73" s="1"/>
      <c r="C73" s="17"/>
      <c r="D73" s="11"/>
      <c r="E73" s="11"/>
      <c r="F73" s="11"/>
      <c r="G73" s="11"/>
      <c r="H73" s="11"/>
      <c r="I73" s="11"/>
      <c r="J73" s="11"/>
      <c r="K73" s="24" t="str">
        <f t="shared" si="18"/>
        <v/>
      </c>
      <c r="L73" s="24" t="str">
        <f t="shared" si="19"/>
        <v/>
      </c>
      <c r="M73" s="16">
        <f t="shared" si="3"/>
        <v>0</v>
      </c>
      <c r="N73" s="16">
        <f t="shared" si="20"/>
        <v>5748.1745999999985</v>
      </c>
      <c r="O73" s="16" t="str">
        <f t="shared" si="4"/>
        <v/>
      </c>
      <c r="P73" s="16" t="str">
        <f t="shared" si="21"/>
        <v/>
      </c>
      <c r="Q73" s="27" t="str">
        <f t="shared" si="37"/>
        <v/>
      </c>
      <c r="R73" s="27" t="str">
        <f t="shared" si="43"/>
        <v/>
      </c>
      <c r="S73" s="86" t="str">
        <f t="shared" si="42"/>
        <v/>
      </c>
      <c r="T73" s="27" t="str">
        <f t="shared" si="38"/>
        <v/>
      </c>
      <c r="U73" s="27" t="str">
        <f t="shared" si="45"/>
        <v/>
      </c>
      <c r="V73" s="25" t="str">
        <f t="shared" si="52"/>
        <v/>
      </c>
      <c r="W73" s="25" t="str">
        <f t="shared" si="53"/>
        <v/>
      </c>
      <c r="X73" s="26" t="str">
        <f>IF(ISBLANK(E73),"",+H73/E73)</f>
        <v/>
      </c>
      <c r="Y73" s="33" t="str">
        <f>IF(ISBLANK(E73),"",SUM(H62:H73))</f>
        <v/>
      </c>
      <c r="Z73" s="29" t="str">
        <f>IF(ISBLANK(E73),"",+Y73/K73)</f>
        <v/>
      </c>
      <c r="AA73" s="17"/>
      <c r="AB73" s="11"/>
      <c r="AC73" s="11"/>
      <c r="AD73" s="11"/>
      <c r="AE73" s="131">
        <f t="shared" si="59"/>
        <v>0</v>
      </c>
      <c r="AF73" s="131">
        <f t="shared" si="60"/>
        <v>0</v>
      </c>
      <c r="AG73" s="3" t="str">
        <f t="shared" si="24"/>
        <v/>
      </c>
      <c r="AH73" s="3">
        <f t="shared" si="10"/>
        <v>0</v>
      </c>
      <c r="AI73" s="3" t="str">
        <f t="shared" si="25"/>
        <v/>
      </c>
      <c r="AJ73" s="37" t="str">
        <f t="shared" si="11"/>
        <v/>
      </c>
      <c r="AK73" s="37" t="str">
        <f t="shared" si="26"/>
        <v/>
      </c>
      <c r="AL73" s="16" t="str">
        <f t="shared" si="27"/>
        <v/>
      </c>
      <c r="AM73" s="27" t="str">
        <f t="shared" si="39"/>
        <v/>
      </c>
      <c r="AN73" s="27" t="str">
        <f t="shared" si="44"/>
        <v/>
      </c>
      <c r="AO73" s="41" t="str">
        <f t="shared" si="12"/>
        <v/>
      </c>
      <c r="AP73" s="5" t="str">
        <f t="shared" si="40"/>
        <v/>
      </c>
      <c r="AQ73" s="4" t="str">
        <f t="shared" si="28"/>
        <v/>
      </c>
      <c r="AR73">
        <f t="shared" si="29"/>
        <v>499</v>
      </c>
      <c r="AS73" s="6" t="str">
        <f t="shared" si="13"/>
        <v/>
      </c>
      <c r="AT73" s="39"/>
      <c r="AU73" s="1">
        <f t="shared" si="30"/>
        <v>0</v>
      </c>
      <c r="AV73" s="5">
        <f t="shared" si="46"/>
        <v>0</v>
      </c>
      <c r="AW73" s="9">
        <f t="shared" si="54"/>
        <v>146833.39902872572</v>
      </c>
      <c r="AX73" s="3">
        <f t="shared" si="47"/>
        <v>0</v>
      </c>
      <c r="AY73" s="3">
        <f t="shared" si="55"/>
        <v>11171.174599999998</v>
      </c>
      <c r="AZ73" s="3">
        <f t="shared" si="33"/>
        <v>13176.512685561287</v>
      </c>
      <c r="BA73" s="3" t="e">
        <f t="shared" si="34"/>
        <v>#VALUE!</v>
      </c>
      <c r="BB73" s="10">
        <f t="shared" si="15"/>
        <v>25607.629216676902</v>
      </c>
      <c r="BC73" s="14">
        <f t="shared" si="35"/>
        <v>51.317894221797395</v>
      </c>
      <c r="BD73" s="2">
        <f t="shared" si="56"/>
        <v>0.33658548662841375</v>
      </c>
      <c r="BE73" s="6" t="e">
        <f t="shared" si="57"/>
        <v>#VALUE!</v>
      </c>
      <c r="BF73" s="15" t="e">
        <f t="shared" si="58"/>
        <v>#VALUE!</v>
      </c>
    </row>
    <row r="74" spans="1:58" x14ac:dyDescent="0.2">
      <c r="A74" s="18" t="s">
        <v>8</v>
      </c>
      <c r="B74" s="1"/>
      <c r="C74" s="17"/>
      <c r="D74" s="11"/>
      <c r="E74" s="11"/>
      <c r="F74" s="11"/>
      <c r="G74" s="11"/>
      <c r="H74" s="11"/>
      <c r="I74" s="11"/>
      <c r="J74" s="11"/>
      <c r="K74" s="24" t="str">
        <f t="shared" si="18"/>
        <v/>
      </c>
      <c r="L74" s="24" t="str">
        <f t="shared" si="19"/>
        <v/>
      </c>
      <c r="M74" s="16">
        <f t="shared" si="3"/>
        <v>0</v>
      </c>
      <c r="N74" s="16">
        <f t="shared" si="20"/>
        <v>4748.8481999999985</v>
      </c>
      <c r="O74" s="16" t="str">
        <f t="shared" si="4"/>
        <v/>
      </c>
      <c r="P74" s="16" t="str">
        <f t="shared" si="21"/>
        <v/>
      </c>
      <c r="Q74" s="27" t="str">
        <f t="shared" si="37"/>
        <v/>
      </c>
      <c r="R74" s="27" t="str">
        <f t="shared" si="43"/>
        <v/>
      </c>
      <c r="S74" s="86" t="str">
        <f t="shared" si="42"/>
        <v/>
      </c>
      <c r="T74" s="27" t="str">
        <f t="shared" si="38"/>
        <v/>
      </c>
      <c r="U74" s="27" t="str">
        <f t="shared" si="45"/>
        <v/>
      </c>
      <c r="V74" s="25" t="str">
        <f t="shared" si="52"/>
        <v/>
      </c>
      <c r="W74" s="25" t="str">
        <f t="shared" si="53"/>
        <v/>
      </c>
      <c r="X74" s="26" t="str">
        <f>IF(ISBLANK(E74),"",+H74/E74)</f>
        <v/>
      </c>
      <c r="Y74" s="33" t="str">
        <f>IF(ISBLANK(E74),"",SUM(H63:H74))</f>
        <v/>
      </c>
      <c r="Z74" s="29" t="str">
        <f>IF(ISBLANK(E74),"",+Y74/K74)</f>
        <v/>
      </c>
      <c r="AA74" s="17"/>
      <c r="AB74" s="11"/>
      <c r="AC74" s="11"/>
      <c r="AD74" s="11"/>
      <c r="AE74" s="131">
        <f t="shared" si="59"/>
        <v>0</v>
      </c>
      <c r="AF74" s="131">
        <f t="shared" si="60"/>
        <v>0</v>
      </c>
      <c r="AG74" s="3" t="str">
        <f t="shared" si="24"/>
        <v/>
      </c>
      <c r="AH74" s="3">
        <f t="shared" si="10"/>
        <v>0</v>
      </c>
      <c r="AI74" s="3" t="str">
        <f t="shared" si="25"/>
        <v/>
      </c>
      <c r="AJ74" s="37" t="str">
        <f t="shared" si="11"/>
        <v/>
      </c>
      <c r="AK74" s="37" t="str">
        <f t="shared" si="26"/>
        <v/>
      </c>
      <c r="AL74" s="16" t="str">
        <f t="shared" si="27"/>
        <v/>
      </c>
      <c r="AM74" s="27" t="str">
        <f t="shared" si="39"/>
        <v/>
      </c>
      <c r="AN74" s="27" t="str">
        <f t="shared" si="44"/>
        <v/>
      </c>
      <c r="AO74" s="41" t="str">
        <f t="shared" si="12"/>
        <v/>
      </c>
      <c r="AP74" s="5" t="str">
        <f t="shared" si="40"/>
        <v/>
      </c>
      <c r="AQ74" s="4" t="str">
        <f t="shared" si="28"/>
        <v/>
      </c>
      <c r="AR74">
        <f t="shared" si="29"/>
        <v>138</v>
      </c>
      <c r="AS74" s="6" t="str">
        <f t="shared" si="13"/>
        <v/>
      </c>
      <c r="AT74" s="39"/>
      <c r="AU74" s="1">
        <f t="shared" si="30"/>
        <v>0</v>
      </c>
      <c r="AV74" s="5">
        <f t="shared" si="46"/>
        <v>0</v>
      </c>
      <c r="AW74" s="9">
        <f t="shared" si="54"/>
        <v>119409.8047539957</v>
      </c>
      <c r="AX74" s="3">
        <f t="shared" si="47"/>
        <v>0</v>
      </c>
      <c r="AY74" s="3">
        <f t="shared" si="55"/>
        <v>8202.8481999999985</v>
      </c>
      <c r="AZ74" s="3">
        <f t="shared" si="33"/>
        <v>10885.761637982409</v>
      </c>
      <c r="BA74" s="3" t="e">
        <f t="shared" si="34"/>
        <v>#VALUE!</v>
      </c>
      <c r="BB74" s="10">
        <f t="shared" si="15"/>
        <v>18803.349043196005</v>
      </c>
      <c r="BC74" s="14">
        <f t="shared" si="35"/>
        <v>136.25615248692756</v>
      </c>
      <c r="BD74" s="2">
        <f t="shared" si="56"/>
        <v>0.27372251481738591</v>
      </c>
      <c r="BE74" s="6" t="e">
        <f t="shared" si="57"/>
        <v>#VALUE!</v>
      </c>
      <c r="BF74" s="15" t="e">
        <f t="shared" si="58"/>
        <v>#VALUE!</v>
      </c>
    </row>
    <row r="75" spans="1:58" x14ac:dyDescent="0.2">
      <c r="A75" s="18" t="s">
        <v>9</v>
      </c>
      <c r="B75" s="1"/>
      <c r="C75" s="17"/>
      <c r="D75" s="11"/>
      <c r="E75" s="11"/>
      <c r="F75" s="11"/>
      <c r="G75" s="11"/>
      <c r="H75" s="11"/>
      <c r="I75" s="11"/>
      <c r="J75" s="11"/>
      <c r="K75" s="24" t="str">
        <f t="shared" si="18"/>
        <v/>
      </c>
      <c r="L75" s="24" t="str">
        <f t="shared" si="19"/>
        <v/>
      </c>
      <c r="M75" s="16">
        <f t="shared" si="3"/>
        <v>0</v>
      </c>
      <c r="N75" s="16">
        <f t="shared" si="20"/>
        <v>3605.1518999999994</v>
      </c>
      <c r="O75" s="16" t="str">
        <f t="shared" si="4"/>
        <v/>
      </c>
      <c r="P75" s="16" t="str">
        <f t="shared" si="21"/>
        <v/>
      </c>
      <c r="Q75" s="27" t="str">
        <f t="shared" si="37"/>
        <v/>
      </c>
      <c r="R75" s="27" t="str">
        <f t="shared" si="43"/>
        <v/>
      </c>
      <c r="S75" s="86" t="str">
        <f t="shared" si="42"/>
        <v/>
      </c>
      <c r="T75" s="27" t="str">
        <f t="shared" si="38"/>
        <v/>
      </c>
      <c r="U75" s="27" t="str">
        <f t="shared" si="45"/>
        <v/>
      </c>
      <c r="V75" s="25" t="str">
        <f t="shared" ref="V75:V81" si="61">IF(D75=0,"",IF(E75=0,"",IF(F75=0,"",E75/(D75*F75*24))))</f>
        <v/>
      </c>
      <c r="W75" s="25" t="str">
        <f t="shared" ref="W75:W81" si="62">IF(ISBLANK(G75),"",IF(E75=0,"",COS(ATAN(G75/E75))))</f>
        <v/>
      </c>
      <c r="X75" s="26" t="str">
        <f t="shared" si="7"/>
        <v/>
      </c>
      <c r="Y75" s="33" t="str">
        <f t="shared" si="22"/>
        <v/>
      </c>
      <c r="Z75" s="29" t="str">
        <f t="shared" si="23"/>
        <v/>
      </c>
      <c r="AA75" s="17"/>
      <c r="AB75" s="11"/>
      <c r="AC75" s="11"/>
      <c r="AD75" s="11"/>
      <c r="AE75" s="131">
        <f t="shared" si="59"/>
        <v>0</v>
      </c>
      <c r="AF75" s="131">
        <f t="shared" si="60"/>
        <v>0</v>
      </c>
      <c r="AG75" s="3" t="str">
        <f t="shared" si="24"/>
        <v/>
      </c>
      <c r="AH75" s="3">
        <f t="shared" si="10"/>
        <v>0</v>
      </c>
      <c r="AI75" s="3" t="str">
        <f t="shared" si="25"/>
        <v/>
      </c>
      <c r="AJ75" s="37" t="str">
        <f t="shared" si="11"/>
        <v/>
      </c>
      <c r="AK75" s="37" t="str">
        <f t="shared" si="26"/>
        <v/>
      </c>
      <c r="AL75" s="16" t="str">
        <f t="shared" si="27"/>
        <v/>
      </c>
      <c r="AM75" s="27" t="str">
        <f t="shared" si="39"/>
        <v/>
      </c>
      <c r="AN75" s="27" t="str">
        <f t="shared" si="44"/>
        <v/>
      </c>
      <c r="AO75" s="41" t="str">
        <f t="shared" si="12"/>
        <v/>
      </c>
      <c r="AP75" s="5" t="str">
        <f t="shared" si="40"/>
        <v/>
      </c>
      <c r="AQ75" s="4" t="str">
        <f t="shared" si="28"/>
        <v/>
      </c>
      <c r="AR75">
        <f t="shared" si="29"/>
        <v>53</v>
      </c>
      <c r="AS75" s="6" t="str">
        <f t="shared" si="13"/>
        <v/>
      </c>
      <c r="AT75" s="40"/>
      <c r="AU75" s="1">
        <f t="shared" si="30"/>
        <v>0</v>
      </c>
      <c r="AV75" s="5">
        <f t="shared" ref="AV75:AV81" si="63">+H75+AD75</f>
        <v>0</v>
      </c>
      <c r="AW75" s="9">
        <f t="shared" ref="AW75:AW81" si="64">SUM(AV64:AV75)</f>
        <v>93637.800280345575</v>
      </c>
      <c r="AX75" s="3">
        <f t="shared" ref="AX75:AX81" si="65">+M75+AH75</f>
        <v>0</v>
      </c>
      <c r="AY75" s="3">
        <f t="shared" ref="AY75:AY81" si="66">SUM(AX64:AX75)</f>
        <v>6011.1518999999989</v>
      </c>
      <c r="AZ75" s="3">
        <f t="shared" si="33"/>
        <v>8264.0721706201111</v>
      </c>
      <c r="BA75" s="3" t="e">
        <f t="shared" si="34"/>
        <v>#VALUE!</v>
      </c>
      <c r="BB75" s="10">
        <f t="shared" si="15"/>
        <v>13779.334271646141</v>
      </c>
      <c r="BC75" s="14">
        <f t="shared" si="35"/>
        <v>259.98743908766306</v>
      </c>
      <c r="BD75" s="2">
        <f t="shared" ref="BD75:BD81" si="67">+AW75/$B$4</f>
        <v>0.21464547427665612</v>
      </c>
      <c r="BE75" s="6" t="e">
        <f t="shared" ref="BE75:BE81" si="68">+K75/$B$4</f>
        <v>#VALUE!</v>
      </c>
      <c r="BF75" s="15" t="e">
        <f t="shared" ref="BF75:BF81" si="69">+AG75/$B$4</f>
        <v>#VALUE!</v>
      </c>
    </row>
    <row r="76" spans="1:58" x14ac:dyDescent="0.2">
      <c r="A76" s="18" t="s">
        <v>10</v>
      </c>
      <c r="B76" s="1"/>
      <c r="C76" s="17"/>
      <c r="D76" s="11"/>
      <c r="E76" s="11"/>
      <c r="F76" s="11"/>
      <c r="G76" s="11"/>
      <c r="H76" s="11"/>
      <c r="I76" s="11"/>
      <c r="J76" s="11"/>
      <c r="K76" s="24" t="str">
        <f t="shared" si="18"/>
        <v/>
      </c>
      <c r="L76" s="24" t="str">
        <f t="shared" si="19"/>
        <v/>
      </c>
      <c r="M76" s="16">
        <f t="shared" si="3"/>
        <v>0</v>
      </c>
      <c r="N76" s="16">
        <f t="shared" si="20"/>
        <v>2366.2329</v>
      </c>
      <c r="O76" s="16" t="str">
        <f t="shared" si="4"/>
        <v/>
      </c>
      <c r="P76" s="16" t="str">
        <f t="shared" si="21"/>
        <v/>
      </c>
      <c r="Q76" s="27" t="str">
        <f t="shared" si="37"/>
        <v/>
      </c>
      <c r="R76" s="27" t="str">
        <f t="shared" si="43"/>
        <v/>
      </c>
      <c r="S76" s="86" t="str">
        <f t="shared" si="42"/>
        <v/>
      </c>
      <c r="T76" s="27" t="str">
        <f t="shared" si="38"/>
        <v/>
      </c>
      <c r="U76" s="27" t="str">
        <f t="shared" si="45"/>
        <v/>
      </c>
      <c r="V76" s="25" t="str">
        <f t="shared" si="61"/>
        <v/>
      </c>
      <c r="W76" s="25" t="str">
        <f t="shared" si="62"/>
        <v/>
      </c>
      <c r="X76" s="26" t="str">
        <f t="shared" si="7"/>
        <v/>
      </c>
      <c r="Y76" s="33" t="str">
        <f t="shared" si="22"/>
        <v/>
      </c>
      <c r="Z76" s="29" t="str">
        <f t="shared" si="23"/>
        <v/>
      </c>
      <c r="AA76" s="17"/>
      <c r="AB76" s="11"/>
      <c r="AC76" s="11"/>
      <c r="AD76" s="11"/>
      <c r="AE76" s="131">
        <f t="shared" si="59"/>
        <v>0</v>
      </c>
      <c r="AF76" s="131">
        <f t="shared" si="60"/>
        <v>0</v>
      </c>
      <c r="AG76" s="3" t="str">
        <f t="shared" si="24"/>
        <v/>
      </c>
      <c r="AH76" s="3">
        <f t="shared" si="10"/>
        <v>0</v>
      </c>
      <c r="AI76" s="3" t="str">
        <f t="shared" si="25"/>
        <v/>
      </c>
      <c r="AJ76" s="37" t="str">
        <f t="shared" si="11"/>
        <v/>
      </c>
      <c r="AK76" s="37" t="str">
        <f t="shared" si="26"/>
        <v/>
      </c>
      <c r="AL76" s="16" t="str">
        <f t="shared" si="27"/>
        <v/>
      </c>
      <c r="AM76" s="27" t="str">
        <f t="shared" si="39"/>
        <v/>
      </c>
      <c r="AN76" s="27" t="str">
        <f t="shared" si="44"/>
        <v/>
      </c>
      <c r="AO76" s="41" t="str">
        <f t="shared" si="12"/>
        <v/>
      </c>
      <c r="AP76" s="5" t="str">
        <f t="shared" si="40"/>
        <v/>
      </c>
      <c r="AQ76" s="4" t="str">
        <f t="shared" si="28"/>
        <v/>
      </c>
      <c r="AR76">
        <f t="shared" si="29"/>
        <v>0</v>
      </c>
      <c r="AS76" s="6" t="str">
        <f t="shared" si="13"/>
        <v/>
      </c>
      <c r="AT76" s="40"/>
      <c r="AU76" s="1">
        <f t="shared" si="30"/>
        <v>0</v>
      </c>
      <c r="AV76" s="5">
        <f t="shared" si="63"/>
        <v>0</v>
      </c>
      <c r="AW76" s="9">
        <f t="shared" si="64"/>
        <v>58784.226766738662</v>
      </c>
      <c r="AX76" s="3">
        <f t="shared" si="65"/>
        <v>0</v>
      </c>
      <c r="AY76" s="3">
        <f t="shared" si="66"/>
        <v>3446.2329</v>
      </c>
      <c r="AZ76" s="3">
        <f t="shared" si="33"/>
        <v>5424.1041710602321</v>
      </c>
      <c r="BA76" s="3" t="e">
        <f t="shared" si="34"/>
        <v>#VALUE!</v>
      </c>
      <c r="BB76" s="10">
        <f t="shared" si="15"/>
        <v>7899.7829196504708</v>
      </c>
      <c r="BC76" s="14" t="e">
        <f t="shared" si="35"/>
        <v>#VALUE!</v>
      </c>
      <c r="BD76" s="2">
        <f t="shared" si="67"/>
        <v>0.13475079718400404</v>
      </c>
      <c r="BE76" s="6" t="e">
        <f t="shared" si="68"/>
        <v>#VALUE!</v>
      </c>
      <c r="BF76" s="15" t="e">
        <f t="shared" si="69"/>
        <v>#VALUE!</v>
      </c>
    </row>
    <row r="77" spans="1:58" x14ac:dyDescent="0.2">
      <c r="A77" s="18" t="s">
        <v>11</v>
      </c>
      <c r="B77" s="1"/>
      <c r="C77" s="17"/>
      <c r="D77" s="11"/>
      <c r="E77" s="11"/>
      <c r="F77" s="11"/>
      <c r="G77" s="11"/>
      <c r="H77" s="11"/>
      <c r="I77" s="11"/>
      <c r="J77" s="11"/>
      <c r="K77" s="24" t="str">
        <f t="shared" si="18"/>
        <v/>
      </c>
      <c r="L77" s="24" t="str">
        <f t="shared" si="19"/>
        <v/>
      </c>
      <c r="M77" s="16">
        <f t="shared" ref="M77:M84" si="70">E77*0.003413</f>
        <v>0</v>
      </c>
      <c r="N77" s="16">
        <f t="shared" si="20"/>
        <v>1222.5365999999999</v>
      </c>
      <c r="O77" s="16" t="str">
        <f t="shared" ref="O77:O84" si="71">IF(ISBLANK(D77),"",+E77/D77)</f>
        <v/>
      </c>
      <c r="P77" s="16" t="str">
        <f t="shared" si="21"/>
        <v/>
      </c>
      <c r="Q77" s="27" t="str">
        <f t="shared" si="37"/>
        <v/>
      </c>
      <c r="R77" s="27" t="str">
        <f t="shared" si="43"/>
        <v/>
      </c>
      <c r="S77" s="86" t="str">
        <f t="shared" si="42"/>
        <v/>
      </c>
      <c r="T77" s="27" t="str">
        <f t="shared" si="38"/>
        <v/>
      </c>
      <c r="U77" s="27" t="str">
        <f t="shared" si="45"/>
        <v/>
      </c>
      <c r="V77" s="25" t="str">
        <f t="shared" si="61"/>
        <v/>
      </c>
      <c r="W77" s="25" t="str">
        <f t="shared" si="62"/>
        <v/>
      </c>
      <c r="X77" s="26" t="str">
        <f t="shared" ref="X77:X84" si="72">IF(ISBLANK(E77),"",+H77/E77)</f>
        <v/>
      </c>
      <c r="Y77" s="33" t="str">
        <f t="shared" si="22"/>
        <v/>
      </c>
      <c r="Z77" s="29" t="str">
        <f t="shared" si="23"/>
        <v/>
      </c>
      <c r="AA77" s="17"/>
      <c r="AB77" s="11"/>
      <c r="AC77" s="11"/>
      <c r="AD77" s="11"/>
      <c r="AE77" s="131">
        <f t="shared" si="59"/>
        <v>0</v>
      </c>
      <c r="AF77" s="131">
        <f t="shared" si="60"/>
        <v>0</v>
      </c>
      <c r="AG77" s="3" t="str">
        <f t="shared" si="24"/>
        <v/>
      </c>
      <c r="AH77" s="3">
        <f t="shared" ref="AH77:AH84" si="73">AC77*0.1</f>
        <v>0</v>
      </c>
      <c r="AI77" s="3" t="str">
        <f t="shared" si="25"/>
        <v/>
      </c>
      <c r="AJ77" s="37" t="str">
        <f t="shared" ref="AJ77:AJ84" si="74">IF(ISBLANK(AB77),"",AC77/AB77)</f>
        <v/>
      </c>
      <c r="AK77" s="37" t="str">
        <f t="shared" si="26"/>
        <v/>
      </c>
      <c r="AL77" s="16" t="str">
        <f t="shared" si="27"/>
        <v/>
      </c>
      <c r="AM77" s="27" t="str">
        <f t="shared" si="39"/>
        <v/>
      </c>
      <c r="AN77" s="27" t="str">
        <f t="shared" si="44"/>
        <v/>
      </c>
      <c r="AO77" s="41" t="str">
        <f t="shared" ref="AO77:AO84" si="75">IF(AC77&gt;0,AD77/AC77,"")</f>
        <v/>
      </c>
      <c r="AP77" s="5" t="str">
        <f t="shared" si="40"/>
        <v/>
      </c>
      <c r="AQ77" s="4" t="str">
        <f t="shared" si="28"/>
        <v/>
      </c>
      <c r="AR77">
        <f t="shared" si="29"/>
        <v>0</v>
      </c>
      <c r="AS77" s="6" t="str">
        <f t="shared" si="13"/>
        <v/>
      </c>
      <c r="AT77" s="40"/>
      <c r="AU77" s="1">
        <f t="shared" si="30"/>
        <v>0</v>
      </c>
      <c r="AV77" s="5">
        <f t="shared" si="63"/>
        <v>0</v>
      </c>
      <c r="AW77" s="9">
        <f t="shared" si="64"/>
        <v>30568.717904967601</v>
      </c>
      <c r="AX77" s="3">
        <f t="shared" si="65"/>
        <v>0</v>
      </c>
      <c r="AY77" s="3">
        <f t="shared" si="66"/>
        <v>1662.5365999999999</v>
      </c>
      <c r="AZ77" s="3">
        <f t="shared" si="33"/>
        <v>2802.4147036979307</v>
      </c>
      <c r="BA77" s="3" t="e">
        <f t="shared" si="34"/>
        <v>#VALUE!</v>
      </c>
      <c r="BB77" s="10">
        <f t="shared" si="15"/>
        <v>3811.0245642346945</v>
      </c>
      <c r="BC77" s="14" t="e">
        <f t="shared" si="35"/>
        <v>#VALUE!</v>
      </c>
      <c r="BD77" s="2">
        <f t="shared" si="67"/>
        <v>7.0072523415720567E-2</v>
      </c>
      <c r="BE77" s="6" t="e">
        <f t="shared" si="68"/>
        <v>#VALUE!</v>
      </c>
      <c r="BF77" s="15" t="e">
        <f t="shared" si="69"/>
        <v>#VALUE!</v>
      </c>
    </row>
    <row r="78" spans="1:58" x14ac:dyDescent="0.2">
      <c r="A78" s="18" t="s">
        <v>12</v>
      </c>
      <c r="B78" s="1"/>
      <c r="C78" s="17"/>
      <c r="D78" s="11"/>
      <c r="E78" s="11"/>
      <c r="F78" s="11"/>
      <c r="G78" s="11"/>
      <c r="H78" s="11"/>
      <c r="I78" s="11"/>
      <c r="J78" s="11"/>
      <c r="K78" s="24" t="str">
        <f t="shared" si="18"/>
        <v/>
      </c>
      <c r="L78" s="24" t="str">
        <f t="shared" si="19"/>
        <v/>
      </c>
      <c r="M78" s="16">
        <f t="shared" si="70"/>
        <v>0</v>
      </c>
      <c r="N78" s="16">
        <f t="shared" si="20"/>
        <v>0</v>
      </c>
      <c r="O78" s="16" t="str">
        <f t="shared" si="71"/>
        <v/>
      </c>
      <c r="P78" s="16" t="str">
        <f t="shared" si="21"/>
        <v/>
      </c>
      <c r="Q78" s="27" t="str">
        <f t="shared" si="37"/>
        <v/>
      </c>
      <c r="R78" s="27" t="str">
        <f t="shared" si="43"/>
        <v/>
      </c>
      <c r="S78" s="86" t="str">
        <f t="shared" si="42"/>
        <v/>
      </c>
      <c r="T78" s="27" t="str">
        <f t="shared" si="38"/>
        <v/>
      </c>
      <c r="U78" s="27" t="str">
        <f t="shared" si="45"/>
        <v/>
      </c>
      <c r="V78" s="25" t="str">
        <f t="shared" si="61"/>
        <v/>
      </c>
      <c r="W78" s="25" t="str">
        <f t="shared" si="62"/>
        <v/>
      </c>
      <c r="X78" s="26" t="str">
        <f t="shared" si="72"/>
        <v/>
      </c>
      <c r="Y78" s="33" t="str">
        <f t="shared" si="22"/>
        <v/>
      </c>
      <c r="Z78" s="29" t="str">
        <f t="shared" si="23"/>
        <v/>
      </c>
      <c r="AA78" s="17"/>
      <c r="AB78" s="11"/>
      <c r="AC78" s="11"/>
      <c r="AD78" s="11"/>
      <c r="AE78" s="131">
        <f t="shared" si="59"/>
        <v>0</v>
      </c>
      <c r="AF78" s="131">
        <f t="shared" si="60"/>
        <v>0</v>
      </c>
      <c r="AG78" s="3" t="str">
        <f t="shared" si="24"/>
        <v/>
      </c>
      <c r="AH78" s="3">
        <f t="shared" si="73"/>
        <v>0</v>
      </c>
      <c r="AI78" s="3" t="str">
        <f t="shared" si="25"/>
        <v/>
      </c>
      <c r="AJ78" s="37" t="str">
        <f t="shared" si="74"/>
        <v/>
      </c>
      <c r="AK78" s="37" t="str">
        <f t="shared" si="26"/>
        <v/>
      </c>
      <c r="AL78" s="16" t="str">
        <f t="shared" si="27"/>
        <v/>
      </c>
      <c r="AM78" s="27" t="str">
        <f t="shared" si="39"/>
        <v/>
      </c>
      <c r="AN78" s="27" t="str">
        <f t="shared" si="44"/>
        <v/>
      </c>
      <c r="AO78" s="41" t="str">
        <f t="shared" si="75"/>
        <v/>
      </c>
      <c r="AP78" s="5" t="str">
        <f t="shared" si="40"/>
        <v/>
      </c>
      <c r="AQ78" s="4" t="str">
        <f t="shared" si="28"/>
        <v/>
      </c>
      <c r="AR78">
        <f t="shared" si="29"/>
        <v>0</v>
      </c>
      <c r="AS78" s="6" t="str">
        <f t="shared" si="13"/>
        <v/>
      </c>
      <c r="AT78" s="40"/>
      <c r="AU78" s="1">
        <f t="shared" ref="AU78:AU84" si="76">SUM(AT67:AT78)</f>
        <v>0</v>
      </c>
      <c r="AV78" s="5">
        <f t="shared" si="63"/>
        <v>0</v>
      </c>
      <c r="AW78" s="9">
        <f t="shared" si="64"/>
        <v>0</v>
      </c>
      <c r="AX78" s="3">
        <f t="shared" si="65"/>
        <v>0</v>
      </c>
      <c r="AY78" s="3">
        <f t="shared" si="66"/>
        <v>0</v>
      </c>
      <c r="AZ78" s="3">
        <f t="shared" ref="AZ78:AZ84" si="77">+N78*1000000/$B$4</f>
        <v>0</v>
      </c>
      <c r="BA78" s="3" t="e">
        <f t="shared" ref="BA78:BA84" si="78">+AI78*1000000/$B$4</f>
        <v>#VALUE!</v>
      </c>
      <c r="BB78" s="10">
        <f t="shared" ref="BB78:BB84" si="79">+AY78*1000000/$B$4</f>
        <v>0</v>
      </c>
      <c r="BC78" s="14" t="e">
        <f t="shared" si="35"/>
        <v>#VALUE!</v>
      </c>
      <c r="BD78" s="2">
        <f t="shared" si="67"/>
        <v>0</v>
      </c>
      <c r="BE78" s="6" t="e">
        <f t="shared" si="68"/>
        <v>#VALUE!</v>
      </c>
      <c r="BF78" s="15" t="e">
        <f t="shared" si="69"/>
        <v>#VALUE!</v>
      </c>
    </row>
    <row r="79" spans="1:58" x14ac:dyDescent="0.2">
      <c r="A79" s="18" t="s">
        <v>13</v>
      </c>
      <c r="B79" s="1"/>
      <c r="C79" s="17"/>
      <c r="D79" s="11"/>
      <c r="E79" s="11"/>
      <c r="F79" s="11"/>
      <c r="G79" s="11"/>
      <c r="H79" s="11"/>
      <c r="I79" s="11"/>
      <c r="J79" s="11"/>
      <c r="K79" s="24" t="str">
        <f t="shared" si="18"/>
        <v/>
      </c>
      <c r="L79" s="24" t="str">
        <f t="shared" si="19"/>
        <v/>
      </c>
      <c r="M79" s="16">
        <f t="shared" si="70"/>
        <v>0</v>
      </c>
      <c r="N79" s="16">
        <f t="shared" si="20"/>
        <v>0</v>
      </c>
      <c r="O79" s="16" t="str">
        <f t="shared" si="71"/>
        <v/>
      </c>
      <c r="P79" s="16" t="str">
        <f t="shared" si="21"/>
        <v/>
      </c>
      <c r="Q79" s="27" t="str">
        <f t="shared" si="37"/>
        <v/>
      </c>
      <c r="R79" s="27" t="str">
        <f t="shared" si="43"/>
        <v/>
      </c>
      <c r="S79" s="86" t="str">
        <f t="shared" si="42"/>
        <v/>
      </c>
      <c r="T79" s="27" t="str">
        <f t="shared" si="38"/>
        <v/>
      </c>
      <c r="U79" s="27" t="str">
        <f t="shared" si="45"/>
        <v/>
      </c>
      <c r="V79" s="25" t="str">
        <f t="shared" si="61"/>
        <v/>
      </c>
      <c r="W79" s="25" t="str">
        <f t="shared" si="62"/>
        <v/>
      </c>
      <c r="X79" s="26" t="str">
        <f t="shared" si="72"/>
        <v/>
      </c>
      <c r="Y79" s="33" t="str">
        <f t="shared" si="22"/>
        <v/>
      </c>
      <c r="Z79" s="29" t="str">
        <f t="shared" si="23"/>
        <v/>
      </c>
      <c r="AA79" s="17"/>
      <c r="AB79" s="11"/>
      <c r="AC79" s="11"/>
      <c r="AD79" s="11"/>
      <c r="AE79" s="131">
        <f t="shared" si="59"/>
        <v>0</v>
      </c>
      <c r="AF79" s="131">
        <f t="shared" si="60"/>
        <v>0</v>
      </c>
      <c r="AG79" s="3" t="str">
        <f t="shared" si="24"/>
        <v/>
      </c>
      <c r="AH79" s="3">
        <f t="shared" si="73"/>
        <v>0</v>
      </c>
      <c r="AI79" s="3" t="str">
        <f t="shared" si="25"/>
        <v/>
      </c>
      <c r="AJ79" s="37" t="str">
        <f t="shared" si="74"/>
        <v/>
      </c>
      <c r="AK79" s="37" t="str">
        <f t="shared" si="26"/>
        <v/>
      </c>
      <c r="AL79" s="16" t="str">
        <f t="shared" si="27"/>
        <v/>
      </c>
      <c r="AM79" s="27" t="str">
        <f t="shared" si="39"/>
        <v/>
      </c>
      <c r="AN79" s="27" t="str">
        <f t="shared" si="44"/>
        <v/>
      </c>
      <c r="AO79" s="41" t="str">
        <f t="shared" si="75"/>
        <v/>
      </c>
      <c r="AP79" s="5" t="str">
        <f t="shared" si="40"/>
        <v/>
      </c>
      <c r="AQ79" s="4" t="str">
        <f t="shared" si="28"/>
        <v/>
      </c>
      <c r="AR79">
        <f t="shared" si="29"/>
        <v>0</v>
      </c>
      <c r="AS79" s="6" t="str">
        <f t="shared" si="13"/>
        <v/>
      </c>
      <c r="AT79" s="40"/>
      <c r="AU79" s="1">
        <f t="shared" si="76"/>
        <v>0</v>
      </c>
      <c r="AV79" s="5">
        <f t="shared" si="63"/>
        <v>0</v>
      </c>
      <c r="AW79" s="9">
        <f t="shared" si="64"/>
        <v>0</v>
      </c>
      <c r="AX79" s="3">
        <f t="shared" si="65"/>
        <v>0</v>
      </c>
      <c r="AY79" s="3">
        <f t="shared" si="66"/>
        <v>0</v>
      </c>
      <c r="AZ79" s="3">
        <f t="shared" si="77"/>
        <v>0</v>
      </c>
      <c r="BA79" s="3" t="e">
        <f t="shared" si="78"/>
        <v>#VALUE!</v>
      </c>
      <c r="BB79" s="10">
        <f t="shared" si="79"/>
        <v>0</v>
      </c>
      <c r="BC79" s="14" t="e">
        <f t="shared" si="35"/>
        <v>#VALUE!</v>
      </c>
      <c r="BD79" s="2">
        <f t="shared" si="67"/>
        <v>0</v>
      </c>
      <c r="BE79" s="6" t="e">
        <f t="shared" si="68"/>
        <v>#VALUE!</v>
      </c>
      <c r="BF79" s="15" t="e">
        <f t="shared" si="69"/>
        <v>#VALUE!</v>
      </c>
    </row>
    <row r="80" spans="1:58" x14ac:dyDescent="0.2">
      <c r="A80" s="18" t="s">
        <v>14</v>
      </c>
      <c r="B80" s="1"/>
      <c r="C80" s="17"/>
      <c r="D80" s="11"/>
      <c r="E80" s="11"/>
      <c r="F80" s="11"/>
      <c r="G80" s="11"/>
      <c r="H80" s="11"/>
      <c r="I80" s="11"/>
      <c r="J80" s="11"/>
      <c r="K80" s="24" t="str">
        <f t="shared" si="18"/>
        <v/>
      </c>
      <c r="L80" s="24" t="str">
        <f t="shared" si="19"/>
        <v/>
      </c>
      <c r="M80" s="16">
        <f t="shared" si="70"/>
        <v>0</v>
      </c>
      <c r="N80" s="16">
        <f t="shared" si="20"/>
        <v>0</v>
      </c>
      <c r="O80" s="16" t="str">
        <f t="shared" si="71"/>
        <v/>
      </c>
      <c r="P80" s="16" t="str">
        <f t="shared" si="21"/>
        <v/>
      </c>
      <c r="Q80" s="27" t="str">
        <f t="shared" si="37"/>
        <v/>
      </c>
      <c r="R80" s="27" t="str">
        <f t="shared" si="43"/>
        <v/>
      </c>
      <c r="S80" s="86" t="str">
        <f t="shared" si="42"/>
        <v/>
      </c>
      <c r="T80" s="27" t="str">
        <f t="shared" si="38"/>
        <v/>
      </c>
      <c r="U80" s="27" t="str">
        <f t="shared" si="45"/>
        <v/>
      </c>
      <c r="V80" s="25" t="str">
        <f t="shared" si="61"/>
        <v/>
      </c>
      <c r="W80" s="25" t="str">
        <f t="shared" si="62"/>
        <v/>
      </c>
      <c r="X80" s="26" t="str">
        <f t="shared" si="72"/>
        <v/>
      </c>
      <c r="Y80" s="33" t="str">
        <f t="shared" si="22"/>
        <v/>
      </c>
      <c r="Z80" s="29" t="str">
        <f t="shared" si="23"/>
        <v/>
      </c>
      <c r="AA80" s="17"/>
      <c r="AB80" s="11"/>
      <c r="AC80" s="11"/>
      <c r="AD80" s="11"/>
      <c r="AE80" s="131">
        <f t="shared" si="59"/>
        <v>0</v>
      </c>
      <c r="AF80" s="131">
        <f t="shared" si="60"/>
        <v>0</v>
      </c>
      <c r="AG80" s="3" t="str">
        <f t="shared" si="24"/>
        <v/>
      </c>
      <c r="AH80" s="3">
        <f t="shared" si="73"/>
        <v>0</v>
      </c>
      <c r="AI80" s="3" t="str">
        <f t="shared" si="25"/>
        <v/>
      </c>
      <c r="AJ80" s="37" t="str">
        <f t="shared" si="74"/>
        <v/>
      </c>
      <c r="AK80" s="37" t="str">
        <f t="shared" si="26"/>
        <v/>
      </c>
      <c r="AL80" s="16" t="str">
        <f t="shared" si="27"/>
        <v/>
      </c>
      <c r="AM80" s="27" t="str">
        <f t="shared" si="39"/>
        <v/>
      </c>
      <c r="AN80" s="27" t="str">
        <f t="shared" si="44"/>
        <v/>
      </c>
      <c r="AO80" s="41" t="str">
        <f t="shared" si="75"/>
        <v/>
      </c>
      <c r="AP80" s="5" t="str">
        <f t="shared" si="40"/>
        <v/>
      </c>
      <c r="AQ80" s="4" t="str">
        <f t="shared" si="28"/>
        <v/>
      </c>
      <c r="AR80">
        <f t="shared" si="29"/>
        <v>0</v>
      </c>
      <c r="AS80" s="6" t="str">
        <f t="shared" si="13"/>
        <v/>
      </c>
      <c r="AT80" s="40"/>
      <c r="AU80" s="1">
        <f t="shared" si="76"/>
        <v>0</v>
      </c>
      <c r="AV80" s="5">
        <f t="shared" si="63"/>
        <v>0</v>
      </c>
      <c r="AW80" s="9">
        <f t="shared" si="64"/>
        <v>0</v>
      </c>
      <c r="AX80" s="3">
        <f t="shared" si="65"/>
        <v>0</v>
      </c>
      <c r="AY80" s="3">
        <f t="shared" si="66"/>
        <v>0</v>
      </c>
      <c r="AZ80" s="3">
        <f t="shared" si="77"/>
        <v>0</v>
      </c>
      <c r="BA80" s="3" t="e">
        <f t="shared" si="78"/>
        <v>#VALUE!</v>
      </c>
      <c r="BB80" s="10">
        <f t="shared" si="79"/>
        <v>0</v>
      </c>
      <c r="BC80" s="14" t="e">
        <f t="shared" si="35"/>
        <v>#VALUE!</v>
      </c>
      <c r="BD80" s="2">
        <f t="shared" si="67"/>
        <v>0</v>
      </c>
      <c r="BE80" s="6" t="e">
        <f t="shared" si="68"/>
        <v>#VALUE!</v>
      </c>
      <c r="BF80" s="15" t="e">
        <f t="shared" si="69"/>
        <v>#VALUE!</v>
      </c>
    </row>
    <row r="81" spans="1:58" x14ac:dyDescent="0.2">
      <c r="A81" s="18" t="s">
        <v>15</v>
      </c>
      <c r="B81" s="1"/>
      <c r="C81" s="17"/>
      <c r="D81" s="11"/>
      <c r="E81" s="11"/>
      <c r="F81" s="11"/>
      <c r="G81" s="11"/>
      <c r="H81" s="11"/>
      <c r="I81" s="11"/>
      <c r="J81" s="11"/>
      <c r="K81" s="24" t="str">
        <f t="shared" si="18"/>
        <v/>
      </c>
      <c r="L81" s="24" t="str">
        <f t="shared" si="19"/>
        <v/>
      </c>
      <c r="M81" s="16">
        <f t="shared" si="70"/>
        <v>0</v>
      </c>
      <c r="N81" s="16">
        <f t="shared" si="20"/>
        <v>0</v>
      </c>
      <c r="O81" s="16" t="str">
        <f t="shared" si="71"/>
        <v/>
      </c>
      <c r="P81" s="16" t="str">
        <f t="shared" si="21"/>
        <v/>
      </c>
      <c r="Q81" s="27" t="str">
        <f t="shared" si="37"/>
        <v/>
      </c>
      <c r="R81" s="27" t="str">
        <f t="shared" si="43"/>
        <v/>
      </c>
      <c r="S81" s="86" t="str">
        <f t="shared" si="42"/>
        <v/>
      </c>
      <c r="T81" s="27" t="str">
        <f t="shared" si="38"/>
        <v/>
      </c>
      <c r="U81" s="27" t="str">
        <f t="shared" si="45"/>
        <v/>
      </c>
      <c r="V81" s="25" t="str">
        <f t="shared" si="61"/>
        <v/>
      </c>
      <c r="W81" s="25" t="str">
        <f t="shared" si="62"/>
        <v/>
      </c>
      <c r="X81" s="26" t="str">
        <f t="shared" si="72"/>
        <v/>
      </c>
      <c r="Y81" s="33" t="str">
        <f t="shared" si="22"/>
        <v/>
      </c>
      <c r="Z81" s="29" t="str">
        <f t="shared" si="23"/>
        <v/>
      </c>
      <c r="AA81" s="17"/>
      <c r="AB81" s="11"/>
      <c r="AC81" s="11"/>
      <c r="AD81" s="11"/>
      <c r="AE81" s="131">
        <f t="shared" si="59"/>
        <v>0</v>
      </c>
      <c r="AF81" s="131">
        <f t="shared" si="60"/>
        <v>0</v>
      </c>
      <c r="AG81" s="3" t="str">
        <f t="shared" si="24"/>
        <v/>
      </c>
      <c r="AH81" s="3">
        <f t="shared" si="73"/>
        <v>0</v>
      </c>
      <c r="AI81" s="3" t="str">
        <f t="shared" si="25"/>
        <v/>
      </c>
      <c r="AJ81" s="37" t="str">
        <f t="shared" si="74"/>
        <v/>
      </c>
      <c r="AK81" s="37" t="str">
        <f t="shared" si="26"/>
        <v/>
      </c>
      <c r="AL81" s="16" t="str">
        <f t="shared" si="27"/>
        <v/>
      </c>
      <c r="AM81" s="27" t="str">
        <f t="shared" si="39"/>
        <v/>
      </c>
      <c r="AN81" s="27" t="str">
        <f t="shared" si="44"/>
        <v/>
      </c>
      <c r="AO81" s="41" t="str">
        <f t="shared" si="75"/>
        <v/>
      </c>
      <c r="AP81" s="5" t="str">
        <f t="shared" si="40"/>
        <v/>
      </c>
      <c r="AQ81" s="4" t="str">
        <f t="shared" si="28"/>
        <v/>
      </c>
      <c r="AR81">
        <f t="shared" si="29"/>
        <v>0</v>
      </c>
      <c r="AS81" s="6" t="str">
        <f t="shared" si="13"/>
        <v/>
      </c>
      <c r="AT81" s="40"/>
      <c r="AU81" s="1">
        <f t="shared" si="76"/>
        <v>0</v>
      </c>
      <c r="AV81" s="5">
        <f t="shared" si="63"/>
        <v>0</v>
      </c>
      <c r="AW81" s="9">
        <f t="shared" si="64"/>
        <v>0</v>
      </c>
      <c r="AX81" s="3">
        <f t="shared" si="65"/>
        <v>0</v>
      </c>
      <c r="AY81" s="3">
        <f t="shared" si="66"/>
        <v>0</v>
      </c>
      <c r="AZ81" s="3">
        <f t="shared" si="77"/>
        <v>0</v>
      </c>
      <c r="BA81" s="3" t="e">
        <f t="shared" si="78"/>
        <v>#VALUE!</v>
      </c>
      <c r="BB81" s="10">
        <f t="shared" si="79"/>
        <v>0</v>
      </c>
      <c r="BC81" s="14" t="e">
        <f t="shared" si="35"/>
        <v>#VALUE!</v>
      </c>
      <c r="BD81" s="2">
        <f t="shared" si="67"/>
        <v>0</v>
      </c>
      <c r="BE81" s="6" t="e">
        <f t="shared" si="68"/>
        <v>#VALUE!</v>
      </c>
      <c r="BF81" s="15" t="e">
        <f t="shared" si="69"/>
        <v>#VALUE!</v>
      </c>
    </row>
    <row r="82" spans="1:58" x14ac:dyDescent="0.2">
      <c r="A82" s="18" t="s">
        <v>16</v>
      </c>
      <c r="B82" s="1"/>
      <c r="C82" s="17"/>
      <c r="D82" s="11"/>
      <c r="E82" s="11"/>
      <c r="F82" s="11"/>
      <c r="G82" s="11"/>
      <c r="H82" s="11"/>
      <c r="I82" s="11"/>
      <c r="J82" s="11"/>
      <c r="K82" s="24" t="str">
        <f t="shared" si="18"/>
        <v/>
      </c>
      <c r="L82" s="24" t="str">
        <f t="shared" si="19"/>
        <v/>
      </c>
      <c r="M82" s="16">
        <f t="shared" si="70"/>
        <v>0</v>
      </c>
      <c r="N82" s="16">
        <f t="shared" si="20"/>
        <v>0</v>
      </c>
      <c r="O82" s="16" t="str">
        <f t="shared" si="71"/>
        <v/>
      </c>
      <c r="P82" s="16" t="str">
        <f t="shared" si="21"/>
        <v/>
      </c>
      <c r="Q82" s="27" t="str">
        <f t="shared" si="37"/>
        <v/>
      </c>
      <c r="R82" s="27" t="str">
        <f t="shared" si="43"/>
        <v/>
      </c>
      <c r="S82" s="86" t="str">
        <f t="shared" si="42"/>
        <v/>
      </c>
      <c r="T82" s="27" t="str">
        <f t="shared" si="38"/>
        <v/>
      </c>
      <c r="U82" s="27" t="str">
        <f t="shared" si="45"/>
        <v/>
      </c>
      <c r="V82" s="25" t="str">
        <f>IF(D82=0,"",IF(E82=0,"",IF(F82=0,"",E82/(D82*F82*24))))</f>
        <v/>
      </c>
      <c r="W82" s="25" t="str">
        <f>IF(ISBLANK(G82),"",IF(E82=0,"",COS(ATAN(G82/E82))))</f>
        <v/>
      </c>
      <c r="X82" s="26" t="str">
        <f t="shared" si="72"/>
        <v/>
      </c>
      <c r="Y82" s="33" t="str">
        <f t="shared" si="22"/>
        <v/>
      </c>
      <c r="Z82" s="29" t="str">
        <f t="shared" si="23"/>
        <v/>
      </c>
      <c r="AA82" s="17"/>
      <c r="AB82" s="11"/>
      <c r="AC82" s="11"/>
      <c r="AD82" s="11"/>
      <c r="AE82" s="131">
        <f t="shared" si="59"/>
        <v>0</v>
      </c>
      <c r="AF82" s="131">
        <f t="shared" si="60"/>
        <v>0</v>
      </c>
      <c r="AG82" s="3" t="str">
        <f t="shared" si="24"/>
        <v/>
      </c>
      <c r="AH82" s="3">
        <f t="shared" si="73"/>
        <v>0</v>
      </c>
      <c r="AI82" s="3" t="str">
        <f t="shared" si="25"/>
        <v/>
      </c>
      <c r="AJ82" s="37" t="str">
        <f t="shared" si="74"/>
        <v/>
      </c>
      <c r="AK82" s="37" t="str">
        <f t="shared" si="26"/>
        <v/>
      </c>
      <c r="AL82" s="16" t="str">
        <f t="shared" si="27"/>
        <v/>
      </c>
      <c r="AM82" s="27" t="str">
        <f t="shared" si="39"/>
        <v/>
      </c>
      <c r="AN82" s="27" t="str">
        <f t="shared" si="44"/>
        <v/>
      </c>
      <c r="AO82" s="41" t="str">
        <f t="shared" si="75"/>
        <v/>
      </c>
      <c r="AP82" s="5" t="str">
        <f t="shared" si="40"/>
        <v/>
      </c>
      <c r="AQ82" s="4" t="str">
        <f t="shared" si="28"/>
        <v/>
      </c>
      <c r="AR82">
        <f t="shared" si="29"/>
        <v>0</v>
      </c>
      <c r="AS82" s="6" t="str">
        <f t="shared" si="13"/>
        <v/>
      </c>
      <c r="AT82" s="40"/>
      <c r="AU82" s="1">
        <f t="shared" si="76"/>
        <v>0</v>
      </c>
      <c r="AV82" s="5">
        <f>+H82+AD82</f>
        <v>0</v>
      </c>
      <c r="AW82" s="9">
        <f>SUM(AV71:AV82)</f>
        <v>0</v>
      </c>
      <c r="AX82" s="3">
        <f>+M82+AH82</f>
        <v>0</v>
      </c>
      <c r="AY82" s="3">
        <f>SUM(AX71:AX82)</f>
        <v>0</v>
      </c>
      <c r="AZ82" s="3">
        <f t="shared" si="77"/>
        <v>0</v>
      </c>
      <c r="BA82" s="3" t="e">
        <f t="shared" si="78"/>
        <v>#VALUE!</v>
      </c>
      <c r="BB82" s="10">
        <f t="shared" si="79"/>
        <v>0</v>
      </c>
      <c r="BC82" s="14" t="e">
        <f>IF(AR82&gt;0,BB82/AR82,BB82/L82)</f>
        <v>#VALUE!</v>
      </c>
      <c r="BD82" s="2">
        <f>+AW82/$B$4</f>
        <v>0</v>
      </c>
      <c r="BE82" s="6" t="e">
        <f>+K82/$B$4</f>
        <v>#VALUE!</v>
      </c>
      <c r="BF82" s="15" t="e">
        <f>+AG82/$B$4</f>
        <v>#VALUE!</v>
      </c>
    </row>
    <row r="83" spans="1:58" x14ac:dyDescent="0.2">
      <c r="A83" s="18" t="s">
        <v>17</v>
      </c>
      <c r="B83" s="1"/>
      <c r="C83" s="17"/>
      <c r="D83" s="11"/>
      <c r="E83" s="11"/>
      <c r="F83" s="11"/>
      <c r="G83" s="11"/>
      <c r="H83" s="11"/>
      <c r="I83" s="11"/>
      <c r="J83" s="11"/>
      <c r="K83" s="24" t="str">
        <f t="shared" si="18"/>
        <v/>
      </c>
      <c r="L83" s="24" t="str">
        <f t="shared" si="19"/>
        <v/>
      </c>
      <c r="M83" s="16">
        <f t="shared" si="70"/>
        <v>0</v>
      </c>
      <c r="N83" s="16">
        <f t="shared" si="20"/>
        <v>0</v>
      </c>
      <c r="O83" s="16" t="str">
        <f t="shared" si="71"/>
        <v/>
      </c>
      <c r="P83" s="16" t="str">
        <f t="shared" si="21"/>
        <v/>
      </c>
      <c r="Q83" s="27" t="str">
        <f t="shared" si="37"/>
        <v/>
      </c>
      <c r="R83" s="27" t="str">
        <f t="shared" si="43"/>
        <v/>
      </c>
      <c r="S83" s="86" t="str">
        <f t="shared" si="42"/>
        <v/>
      </c>
      <c r="T83" s="27" t="str">
        <f t="shared" si="38"/>
        <v/>
      </c>
      <c r="U83" s="27" t="str">
        <f t="shared" si="45"/>
        <v/>
      </c>
      <c r="V83" s="25" t="str">
        <f>IF(D83=0,"",IF(E83=0,"",IF(F83=0,"",E83/(D83*F83*24))))</f>
        <v/>
      </c>
      <c r="W83" s="25" t="str">
        <f>IF(ISBLANK(G83),"",IF(E83=0,"",COS(ATAN(G83/E83))))</f>
        <v/>
      </c>
      <c r="X83" s="26" t="str">
        <f t="shared" si="72"/>
        <v/>
      </c>
      <c r="Y83" s="33" t="str">
        <f t="shared" si="22"/>
        <v/>
      </c>
      <c r="Z83" s="29" t="str">
        <f t="shared" si="23"/>
        <v/>
      </c>
      <c r="AA83" s="17"/>
      <c r="AB83" s="11"/>
      <c r="AC83" s="11"/>
      <c r="AD83" s="11"/>
      <c r="AE83" s="131">
        <f t="shared" si="59"/>
        <v>0</v>
      </c>
      <c r="AF83" s="131">
        <f t="shared" si="60"/>
        <v>0</v>
      </c>
      <c r="AG83" s="3" t="str">
        <f t="shared" si="24"/>
        <v/>
      </c>
      <c r="AH83" s="3">
        <f t="shared" si="73"/>
        <v>0</v>
      </c>
      <c r="AI83" s="3" t="str">
        <f t="shared" si="25"/>
        <v/>
      </c>
      <c r="AJ83" s="37" t="str">
        <f t="shared" si="74"/>
        <v/>
      </c>
      <c r="AK83" s="37" t="str">
        <f t="shared" si="26"/>
        <v/>
      </c>
      <c r="AL83" s="16" t="str">
        <f t="shared" si="27"/>
        <v/>
      </c>
      <c r="AM83" s="27" t="str">
        <f t="shared" si="39"/>
        <v/>
      </c>
      <c r="AN83" s="27" t="str">
        <f t="shared" si="44"/>
        <v/>
      </c>
      <c r="AO83" s="41" t="str">
        <f t="shared" si="75"/>
        <v/>
      </c>
      <c r="AP83" s="5" t="str">
        <f t="shared" si="40"/>
        <v/>
      </c>
      <c r="AQ83" s="4" t="str">
        <f t="shared" si="28"/>
        <v/>
      </c>
      <c r="AR83">
        <f t="shared" si="29"/>
        <v>0</v>
      </c>
      <c r="AS83" s="6" t="str">
        <f t="shared" si="13"/>
        <v/>
      </c>
      <c r="AT83" s="40"/>
      <c r="AU83" s="1">
        <f t="shared" si="76"/>
        <v>0</v>
      </c>
      <c r="AV83" s="5">
        <f>+H83+AD83</f>
        <v>0</v>
      </c>
      <c r="AW83" s="9">
        <f>SUM(AV72:AV83)</f>
        <v>0</v>
      </c>
      <c r="AX83" s="3">
        <f>+M83+AH83</f>
        <v>0</v>
      </c>
      <c r="AY83" s="3">
        <f>SUM(AX72:AX83)</f>
        <v>0</v>
      </c>
      <c r="AZ83" s="3">
        <f t="shared" si="77"/>
        <v>0</v>
      </c>
      <c r="BA83" s="3" t="e">
        <f t="shared" si="78"/>
        <v>#VALUE!</v>
      </c>
      <c r="BB83" s="10">
        <f t="shared" si="79"/>
        <v>0</v>
      </c>
      <c r="BC83" s="14" t="e">
        <f>IF(AR83&gt;0,BB83/AR83,BB83/L83)</f>
        <v>#VALUE!</v>
      </c>
      <c r="BD83" s="2">
        <f>+AW83/$B$4</f>
        <v>0</v>
      </c>
      <c r="BE83" s="6" t="e">
        <f>+K83/$B$4</f>
        <v>#VALUE!</v>
      </c>
      <c r="BF83" s="15" t="e">
        <f>+AG83/$B$4</f>
        <v>#VALUE!</v>
      </c>
    </row>
    <row r="84" spans="1:58" s="11" customFormat="1" x14ac:dyDescent="0.2">
      <c r="A84" s="21" t="str">
        <f>IF(B84=2010,$BM$35,IF(B84=2011,$BN$35,IF(B84=2012,$BO$35,IF(B84=2013,$BP$35,IF(B84=2014,$BQ$35,IF(B84=2015,$BR$35,IF(B84=2016,$BS$35,"")))))))</f>
        <v>JAN 13</v>
      </c>
      <c r="B84" s="37">
        <f>B72+1</f>
        <v>2013</v>
      </c>
      <c r="C84" s="17"/>
      <c r="K84" s="24" t="str">
        <f t="shared" si="18"/>
        <v/>
      </c>
      <c r="L84" s="24" t="str">
        <f t="shared" si="19"/>
        <v/>
      </c>
      <c r="M84" s="16">
        <f t="shared" si="70"/>
        <v>0</v>
      </c>
      <c r="N84" s="16">
        <f t="shared" si="20"/>
        <v>0</v>
      </c>
      <c r="O84" s="16" t="str">
        <f t="shared" si="71"/>
        <v/>
      </c>
      <c r="P84" s="16" t="str">
        <f t="shared" si="21"/>
        <v/>
      </c>
      <c r="Q84" s="27" t="str">
        <f t="shared" si="37"/>
        <v/>
      </c>
      <c r="R84" s="27" t="str">
        <f t="shared" si="43"/>
        <v/>
      </c>
      <c r="S84" s="86" t="str">
        <f t="shared" si="42"/>
        <v/>
      </c>
      <c r="T84" s="27" t="str">
        <f t="shared" si="38"/>
        <v/>
      </c>
      <c r="U84" s="27" t="str">
        <f t="shared" si="45"/>
        <v/>
      </c>
      <c r="V84" s="25" t="str">
        <f>IF(D84=0,"",IF(E84=0,"",IF(F84=0,"",E84/(D84*F84*24))))</f>
        <v/>
      </c>
      <c r="W84" s="25" t="str">
        <f>IF(ISBLANK(G84),"",IF(E84=0,"",COS(ATAN(G84/E84))))</f>
        <v/>
      </c>
      <c r="X84" s="26" t="str">
        <f t="shared" si="72"/>
        <v/>
      </c>
      <c r="Y84" s="33" t="str">
        <f t="shared" si="22"/>
        <v/>
      </c>
      <c r="Z84" s="29" t="str">
        <f t="shared" si="23"/>
        <v/>
      </c>
      <c r="AA84" s="17"/>
      <c r="AE84" s="131">
        <f t="shared" si="59"/>
        <v>0</v>
      </c>
      <c r="AF84" s="131">
        <f t="shared" si="60"/>
        <v>0</v>
      </c>
      <c r="AG84" s="3" t="str">
        <f t="shared" si="24"/>
        <v/>
      </c>
      <c r="AH84" s="3">
        <f t="shared" si="73"/>
        <v>0</v>
      </c>
      <c r="AI84" s="3" t="str">
        <f t="shared" si="25"/>
        <v/>
      </c>
      <c r="AJ84" s="37" t="str">
        <f t="shared" si="74"/>
        <v/>
      </c>
      <c r="AK84" s="37" t="str">
        <f t="shared" si="26"/>
        <v/>
      </c>
      <c r="AL84" s="16" t="str">
        <f t="shared" si="27"/>
        <v/>
      </c>
      <c r="AM84" s="27" t="str">
        <f t="shared" si="39"/>
        <v/>
      </c>
      <c r="AN84" s="27" t="str">
        <f t="shared" si="44"/>
        <v/>
      </c>
      <c r="AO84" s="41" t="str">
        <f t="shared" si="75"/>
        <v/>
      </c>
      <c r="AP84" s="5" t="str">
        <f t="shared" si="40"/>
        <v/>
      </c>
      <c r="AQ84" s="4" t="str">
        <f t="shared" si="28"/>
        <v/>
      </c>
      <c r="AR84">
        <f t="shared" si="29"/>
        <v>0</v>
      </c>
      <c r="AS84" s="6" t="str">
        <f t="shared" si="13"/>
        <v/>
      </c>
      <c r="AT84" s="40"/>
      <c r="AU84" s="39">
        <f t="shared" si="76"/>
        <v>0</v>
      </c>
      <c r="AV84" s="92">
        <f>+H84+AD84</f>
        <v>0</v>
      </c>
      <c r="AW84" s="90">
        <f>SUM(AV73:AV84)</f>
        <v>0</v>
      </c>
      <c r="AX84" s="89">
        <f>+M84+AH84</f>
        <v>0</v>
      </c>
      <c r="AY84" s="89">
        <f>SUM(AX73:AX84)</f>
        <v>0</v>
      </c>
      <c r="AZ84" s="89">
        <f t="shared" si="77"/>
        <v>0</v>
      </c>
      <c r="BA84" s="89" t="e">
        <f t="shared" si="78"/>
        <v>#VALUE!</v>
      </c>
      <c r="BB84" s="93">
        <f t="shared" si="79"/>
        <v>0</v>
      </c>
      <c r="BC84" s="94" t="e">
        <f>IF(AR84&gt;0,BB84/AR84,BB84/L84)</f>
        <v>#VALUE!</v>
      </c>
      <c r="BD84" s="95">
        <f>+AW84/$B$4</f>
        <v>0</v>
      </c>
      <c r="BE84" s="40" t="e">
        <f>+K84/$B$4</f>
        <v>#VALUE!</v>
      </c>
      <c r="BF84" s="96" t="e">
        <f>+AG84/$B$4</f>
        <v>#VALUE!</v>
      </c>
    </row>
    <row r="85" spans="1:58" x14ac:dyDescent="0.2">
      <c r="B85" s="1"/>
      <c r="C85" s="119"/>
      <c r="D85"/>
      <c r="H85"/>
      <c r="K85" s="24"/>
      <c r="L85" s="24"/>
      <c r="M85" s="16"/>
      <c r="N85" s="16"/>
      <c r="O85" s="16"/>
      <c r="P85" s="16"/>
      <c r="Q85" s="27"/>
      <c r="R85" s="27"/>
      <c r="S85" s="27"/>
      <c r="T85" s="27"/>
      <c r="U85" s="27"/>
      <c r="V85" s="25"/>
      <c r="W85" s="25"/>
      <c r="X85" s="26"/>
      <c r="Y85" s="28"/>
      <c r="Z85" s="29"/>
      <c r="AA85" s="119"/>
      <c r="AB85"/>
      <c r="AD85"/>
      <c r="AG85" s="3"/>
      <c r="AH85" s="3"/>
      <c r="AI85" s="3"/>
      <c r="AJ85" s="37"/>
      <c r="AK85" s="37"/>
      <c r="AL85" s="16"/>
      <c r="AM85" s="27"/>
      <c r="AN85" s="27"/>
      <c r="AO85" s="41"/>
      <c r="AP85" s="5"/>
      <c r="AQ85" s="4"/>
      <c r="AS85" s="6" t="str">
        <f>IF(ISBLANK(AC85),"",+AC85/AE85)</f>
        <v/>
      </c>
      <c r="AT85" s="40"/>
      <c r="AU85" s="1"/>
      <c r="AV85" s="5"/>
      <c r="AW85" s="9"/>
      <c r="AX85" s="3"/>
      <c r="AY85" s="3"/>
      <c r="AZ85" s="3"/>
      <c r="BA85" s="3"/>
      <c r="BB85" s="10"/>
      <c r="BC85" s="14"/>
      <c r="BD85" s="2"/>
      <c r="BE85" s="6"/>
      <c r="BF85" s="15"/>
    </row>
    <row r="86" spans="1:58" x14ac:dyDescent="0.2">
      <c r="C86" s="119"/>
      <c r="D86"/>
      <c r="H86"/>
      <c r="AA86" s="119"/>
      <c r="AB86"/>
      <c r="AD86"/>
    </row>
    <row r="87" spans="1:58" x14ac:dyDescent="0.2">
      <c r="C87" s="119"/>
      <c r="D87"/>
      <c r="H87"/>
      <c r="AA87" s="119"/>
      <c r="AB87"/>
      <c r="AD87"/>
    </row>
    <row r="88" spans="1:58" x14ac:dyDescent="0.2">
      <c r="C88" s="119"/>
      <c r="D88"/>
      <c r="H88"/>
      <c r="AA88" s="119"/>
      <c r="AB88"/>
      <c r="AD88"/>
    </row>
    <row r="89" spans="1:58" x14ac:dyDescent="0.2">
      <c r="C89" s="119"/>
      <c r="D89"/>
      <c r="H89"/>
      <c r="AA89" s="119"/>
      <c r="AB89"/>
      <c r="AD89"/>
    </row>
    <row r="90" spans="1:58" x14ac:dyDescent="0.2">
      <c r="B90">
        <v>0</v>
      </c>
      <c r="C90" s="119" t="s">
        <v>125</v>
      </c>
      <c r="D90" t="s">
        <v>126</v>
      </c>
      <c r="E90" t="s">
        <v>127</v>
      </c>
      <c r="G90" t="s">
        <v>128</v>
      </c>
      <c r="H90"/>
      <c r="AA90" s="119"/>
      <c r="AB90"/>
      <c r="AD90"/>
    </row>
    <row r="91" spans="1:58" x14ac:dyDescent="0.2">
      <c r="B91">
        <v>0</v>
      </c>
      <c r="C91" s="119" t="s">
        <v>129</v>
      </c>
      <c r="D91" t="s">
        <v>130</v>
      </c>
      <c r="E91" t="s">
        <v>131</v>
      </c>
      <c r="G91" t="s">
        <v>132</v>
      </c>
      <c r="H91"/>
      <c r="V91" s="25"/>
      <c r="X91" s="35"/>
      <c r="AA91" s="119"/>
      <c r="AB91"/>
      <c r="AD91"/>
    </row>
    <row r="92" spans="1:58" x14ac:dyDescent="0.2">
      <c r="B92" s="18">
        <v>0</v>
      </c>
      <c r="C92" s="119" t="s">
        <v>133</v>
      </c>
      <c r="D92" t="s">
        <v>134</v>
      </c>
      <c r="E92" t="s">
        <v>135</v>
      </c>
      <c r="G92" t="s">
        <v>136</v>
      </c>
      <c r="H92"/>
      <c r="V92" s="25"/>
      <c r="X92" s="35"/>
      <c r="AA92" s="119"/>
      <c r="AB92"/>
      <c r="AD92"/>
    </row>
    <row r="93" spans="1:58" x14ac:dyDescent="0.2">
      <c r="B93" s="18">
        <v>12</v>
      </c>
      <c r="C93" s="119" t="s">
        <v>137</v>
      </c>
      <c r="D93" t="s">
        <v>138</v>
      </c>
      <c r="E93" t="s">
        <v>139</v>
      </c>
      <c r="G93" t="s">
        <v>140</v>
      </c>
      <c r="H93"/>
      <c r="V93" s="25"/>
      <c r="X93" s="35"/>
      <c r="AA93" s="119"/>
      <c r="AB93"/>
      <c r="AD93"/>
    </row>
    <row r="94" spans="1:58" x14ac:dyDescent="0.2">
      <c r="B94">
        <v>95</v>
      </c>
      <c r="C94" s="119" t="s">
        <v>141</v>
      </c>
      <c r="D94" t="s">
        <v>142</v>
      </c>
      <c r="E94" t="s">
        <v>143</v>
      </c>
      <c r="G94" t="s">
        <v>144</v>
      </c>
      <c r="H94"/>
      <c r="X94" s="35"/>
      <c r="AA94" s="119"/>
      <c r="AB94"/>
      <c r="AD94"/>
    </row>
    <row r="95" spans="1:58" x14ac:dyDescent="0.2">
      <c r="B95">
        <v>392</v>
      </c>
      <c r="C95" t="s">
        <v>145</v>
      </c>
      <c r="D95" s="1" t="s">
        <v>146</v>
      </c>
      <c r="E95" t="s">
        <v>147</v>
      </c>
      <c r="F95">
        <v>78</v>
      </c>
      <c r="G95" t="s">
        <v>148</v>
      </c>
      <c r="AA95" s="119"/>
      <c r="AB95"/>
      <c r="AD95"/>
    </row>
    <row r="96" spans="1:58" x14ac:dyDescent="0.2">
      <c r="B96">
        <v>808</v>
      </c>
      <c r="C96" t="s">
        <v>149</v>
      </c>
      <c r="D96" s="1" t="s">
        <v>150</v>
      </c>
      <c r="E96" t="s">
        <v>151</v>
      </c>
      <c r="F96">
        <v>81</v>
      </c>
      <c r="G96" t="s">
        <v>136</v>
      </c>
    </row>
    <row r="97" spans="2:7" x14ac:dyDescent="0.2">
      <c r="B97">
        <v>951</v>
      </c>
      <c r="C97" t="s">
        <v>152</v>
      </c>
      <c r="D97" s="1" t="s">
        <v>146</v>
      </c>
      <c r="E97" t="s">
        <v>153</v>
      </c>
      <c r="F97">
        <v>82</v>
      </c>
      <c r="G97" t="s">
        <v>154</v>
      </c>
    </row>
    <row r="98" spans="2:7" x14ac:dyDescent="0.2">
      <c r="B98">
        <v>743</v>
      </c>
      <c r="C98" t="s">
        <v>155</v>
      </c>
      <c r="D98" s="1" t="s">
        <v>156</v>
      </c>
      <c r="E98" t="s">
        <v>139</v>
      </c>
      <c r="F98">
        <v>72</v>
      </c>
      <c r="G98" t="s">
        <v>157</v>
      </c>
    </row>
    <row r="99" spans="2:7" x14ac:dyDescent="0.2">
      <c r="B99">
        <v>413</v>
      </c>
      <c r="C99" t="s">
        <v>158</v>
      </c>
      <c r="D99" s="1" t="s">
        <v>159</v>
      </c>
      <c r="E99" t="s">
        <v>160</v>
      </c>
      <c r="F99">
        <v>60</v>
      </c>
      <c r="G99" t="s">
        <v>161</v>
      </c>
    </row>
    <row r="100" spans="2:7" x14ac:dyDescent="0.2">
      <c r="B100">
        <v>126</v>
      </c>
      <c r="C100" t="s">
        <v>162</v>
      </c>
      <c r="D100" s="1" t="s">
        <v>163</v>
      </c>
      <c r="E100" t="s">
        <v>164</v>
      </c>
      <c r="F100">
        <v>52</v>
      </c>
      <c r="G100" t="s">
        <v>165</v>
      </c>
    </row>
    <row r="101" spans="2:7" x14ac:dyDescent="0.2">
      <c r="B101">
        <v>91</v>
      </c>
      <c r="C101" t="s">
        <v>166</v>
      </c>
      <c r="D101" s="1" t="s">
        <v>167</v>
      </c>
      <c r="E101" t="s">
        <v>168</v>
      </c>
      <c r="F101">
        <v>39</v>
      </c>
      <c r="G101" t="s">
        <v>169</v>
      </c>
    </row>
    <row r="102" spans="2:7" x14ac:dyDescent="0.2">
      <c r="B102">
        <v>0</v>
      </c>
      <c r="F102">
        <v>39</v>
      </c>
    </row>
    <row r="103" spans="2:7" x14ac:dyDescent="0.2">
      <c r="F103">
        <v>43</v>
      </c>
    </row>
    <row r="104" spans="2:7" x14ac:dyDescent="0.2">
      <c r="F104">
        <v>54</v>
      </c>
    </row>
    <row r="105" spans="2:7" x14ac:dyDescent="0.2">
      <c r="F105">
        <v>61</v>
      </c>
    </row>
    <row r="106" spans="2:7" x14ac:dyDescent="0.2">
      <c r="F106">
        <v>69</v>
      </c>
    </row>
  </sheetData>
  <mergeCells count="2">
    <mergeCell ref="B9:D9"/>
    <mergeCell ref="AB5:AC5"/>
  </mergeCells>
  <phoneticPr fontId="0" type="noConversion"/>
  <dataValidations count="1">
    <dataValidation type="list" allowBlank="1" showErrorMessage="1" promptTitle="Building Type:" prompt="Enter the general type of building you are using to compare your facility to from the list below." sqref="B9:D9">
      <formula1>$BM$2:$BM$22</formula1>
    </dataValidation>
  </dataValidations>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N74"/>
  <sheetViews>
    <sheetView showGridLines="0" workbookViewId="0">
      <selection activeCell="F16" sqref="F16"/>
    </sheetView>
  </sheetViews>
  <sheetFormatPr defaultRowHeight="12.75" x14ac:dyDescent="0.2"/>
  <cols>
    <col min="1" max="1" width="4.7109375" customWidth="1"/>
    <col min="2" max="2" width="28.7109375" bestFit="1" customWidth="1"/>
    <col min="3" max="5" width="10.7109375" customWidth="1"/>
    <col min="7" max="92" width="1" customWidth="1"/>
  </cols>
  <sheetData>
    <row r="1" spans="1:92" ht="18.75" thickBot="1" x14ac:dyDescent="0.3">
      <c r="B1" s="154" t="s">
        <v>76</v>
      </c>
      <c r="C1" s="155"/>
      <c r="D1" s="155"/>
      <c r="E1" s="156"/>
      <c r="G1" s="7"/>
      <c r="H1" s="7"/>
      <c r="I1" s="7"/>
      <c r="J1" s="7"/>
    </row>
    <row r="2" spans="1:92" ht="13.5" thickBot="1" x14ac:dyDescent="0.25">
      <c r="A2" s="116" t="s">
        <v>95</v>
      </c>
      <c r="F2" s="43"/>
      <c r="G2" s="157"/>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9"/>
    </row>
    <row r="3" spans="1:92" ht="15.75" x14ac:dyDescent="0.25">
      <c r="A3" s="160" t="s">
        <v>77</v>
      </c>
      <c r="B3" s="44" t="s">
        <v>78</v>
      </c>
      <c r="C3" s="163" t="str">
        <f>Data!B9</f>
        <v>Libraries - Large Gas Heat</v>
      </c>
      <c r="D3" s="163"/>
      <c r="E3" s="164"/>
      <c r="G3" s="165" t="s">
        <v>79</v>
      </c>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7"/>
    </row>
    <row r="4" spans="1:92" ht="12.75" customHeight="1" x14ac:dyDescent="0.25">
      <c r="A4" s="161"/>
      <c r="B4" s="48"/>
      <c r="C4" s="99"/>
      <c r="D4" s="99"/>
      <c r="E4" s="100"/>
      <c r="G4" s="45"/>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9" t="s">
        <v>80</v>
      </c>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7"/>
    </row>
    <row r="5" spans="1:92" x14ac:dyDescent="0.2">
      <c r="A5" s="161"/>
      <c r="B5" s="48" t="s">
        <v>51</v>
      </c>
      <c r="C5" s="168" t="str">
        <f>+Data!B1</f>
        <v>Demo Library</v>
      </c>
      <c r="D5" s="168"/>
      <c r="E5" s="169"/>
      <c r="G5" s="48"/>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1" t="str">
        <f>+C5</f>
        <v>Demo Library</v>
      </c>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2"/>
    </row>
    <row r="6" spans="1:92" ht="13.5" thickBot="1" x14ac:dyDescent="0.25">
      <c r="A6" s="161"/>
      <c r="B6" s="48" t="s">
        <v>81</v>
      </c>
      <c r="C6" s="101">
        <f>VLOOKUP(MAX(Data!C12:C84),Data!C12:BB84,52)</f>
        <v>96105.924666012594</v>
      </c>
      <c r="D6" s="50" t="s">
        <v>82</v>
      </c>
      <c r="E6" s="52"/>
      <c r="G6" s="48"/>
      <c r="H6" s="50"/>
      <c r="I6" s="50"/>
      <c r="J6" s="50">
        <f>$C$8/80*1</f>
        <v>2500</v>
      </c>
      <c r="K6" s="50">
        <f>$C$8/80*2</f>
        <v>5000</v>
      </c>
      <c r="L6" s="50">
        <f>$C$8/80*3</f>
        <v>7500</v>
      </c>
      <c r="M6" s="50">
        <f>$C$8/80*4</f>
        <v>10000</v>
      </c>
      <c r="N6" s="50">
        <f>$C$8/80*5</f>
        <v>12500</v>
      </c>
      <c r="O6" s="50">
        <f>$C$8/80*6</f>
        <v>15000</v>
      </c>
      <c r="P6" s="50">
        <f>$C$8/80*7</f>
        <v>17500</v>
      </c>
      <c r="Q6" s="50">
        <f>$C$8/80*8</f>
        <v>20000</v>
      </c>
      <c r="R6" s="50">
        <f>$C$8/80*9</f>
        <v>22500</v>
      </c>
      <c r="S6" s="50">
        <f>$C$8/80*10</f>
        <v>25000</v>
      </c>
      <c r="T6" s="50">
        <f>$C$8/80*11</f>
        <v>27500</v>
      </c>
      <c r="U6" s="50">
        <f>$C$8/80*12</f>
        <v>30000</v>
      </c>
      <c r="V6" s="50">
        <f>$C$8/80*13</f>
        <v>32500</v>
      </c>
      <c r="W6" s="50">
        <f>$C$8/80*14</f>
        <v>35000</v>
      </c>
      <c r="X6" s="50">
        <f>$C$8/80*15</f>
        <v>37500</v>
      </c>
      <c r="Y6" s="50">
        <f>$C$8/80*16</f>
        <v>40000</v>
      </c>
      <c r="Z6" s="50">
        <f>$C$8/80*17</f>
        <v>42500</v>
      </c>
      <c r="AA6" s="50">
        <f>$C$8/80*18</f>
        <v>45000</v>
      </c>
      <c r="AB6" s="50">
        <f>$C$8/80*19</f>
        <v>47500</v>
      </c>
      <c r="AC6" s="50">
        <f>$C$8/80*20</f>
        <v>50000</v>
      </c>
      <c r="AD6" s="50">
        <f>$C$8/80*21</f>
        <v>52500</v>
      </c>
      <c r="AE6" s="50">
        <f>$C$8/80*22</f>
        <v>55000</v>
      </c>
      <c r="AF6" s="50">
        <f>$C$8/80*23</f>
        <v>57500</v>
      </c>
      <c r="AG6" s="50">
        <f>$C$8/80*24</f>
        <v>60000</v>
      </c>
      <c r="AH6" s="50">
        <f>$C$8/80*25</f>
        <v>62500</v>
      </c>
      <c r="AI6" s="50">
        <f>$C$8/80*26</f>
        <v>65000</v>
      </c>
      <c r="AJ6" s="50">
        <f>$C$8/80*27</f>
        <v>67500</v>
      </c>
      <c r="AK6" s="50">
        <f>$C$8/80*28</f>
        <v>70000</v>
      </c>
      <c r="AL6" s="50">
        <f>$C$8/80*29</f>
        <v>72500</v>
      </c>
      <c r="AM6" s="50">
        <f>$C$8/80*30</f>
        <v>75000</v>
      </c>
      <c r="AN6" s="50">
        <f>$C$8/80*31</f>
        <v>77500</v>
      </c>
      <c r="AO6" s="50">
        <f>$C$8/80*32</f>
        <v>80000</v>
      </c>
      <c r="AP6" s="50">
        <f>$C$8/80*33</f>
        <v>82500</v>
      </c>
      <c r="AQ6" s="50">
        <f>$C$8/80*34</f>
        <v>85000</v>
      </c>
      <c r="AR6" s="50">
        <f>$C$8/80*35</f>
        <v>87500</v>
      </c>
      <c r="AS6" s="50">
        <f>$C$8/80*36</f>
        <v>90000</v>
      </c>
      <c r="AT6" s="50">
        <f>$C$8/80*37</f>
        <v>92500</v>
      </c>
      <c r="AU6" s="50">
        <f>$C$8/80*38</f>
        <v>95000</v>
      </c>
      <c r="AV6" s="50">
        <f>$C$8/80*39</f>
        <v>97500</v>
      </c>
      <c r="AW6" s="50">
        <f>$C$8/80*40</f>
        <v>100000</v>
      </c>
      <c r="AX6" s="50">
        <f>$C$8/80*41</f>
        <v>102500</v>
      </c>
      <c r="AY6" s="50">
        <f>$C$8/80*42</f>
        <v>105000</v>
      </c>
      <c r="AZ6" s="50">
        <f>$C$8/80*43</f>
        <v>107500</v>
      </c>
      <c r="BA6" s="50">
        <f>$C$8/80*44</f>
        <v>110000</v>
      </c>
      <c r="BB6" s="50">
        <f>$C$8/80*45</f>
        <v>112500</v>
      </c>
      <c r="BC6" s="50">
        <f>$C$8/80*46</f>
        <v>115000</v>
      </c>
      <c r="BD6" s="50">
        <f>$C$8/80*47</f>
        <v>117500</v>
      </c>
      <c r="BE6" s="50">
        <f>$C$8/80*48</f>
        <v>120000</v>
      </c>
      <c r="BF6" s="50">
        <f>$C$8/80*49</f>
        <v>122500</v>
      </c>
      <c r="BG6" s="50">
        <f>$C$8/80*50</f>
        <v>125000</v>
      </c>
      <c r="BH6" s="50">
        <f>$C$8/80*51</f>
        <v>127500</v>
      </c>
      <c r="BI6" s="50">
        <f>$C$8/80*52</f>
        <v>130000</v>
      </c>
      <c r="BJ6" s="50">
        <f>$C$8/80*53</f>
        <v>132500</v>
      </c>
      <c r="BK6" s="50">
        <f>$C$8/80*54</f>
        <v>135000</v>
      </c>
      <c r="BL6" s="50">
        <f>$C$8/80*55</f>
        <v>137500</v>
      </c>
      <c r="BM6" s="50">
        <f>$C$8/80*56</f>
        <v>140000</v>
      </c>
      <c r="BN6" s="50">
        <f>$C$8/80*57</f>
        <v>142500</v>
      </c>
      <c r="BO6" s="50">
        <f>$C$8/80*58</f>
        <v>145000</v>
      </c>
      <c r="BP6" s="50">
        <f>$C$8/80*59</f>
        <v>147500</v>
      </c>
      <c r="BQ6" s="50">
        <f>$C$8/80*60</f>
        <v>150000</v>
      </c>
      <c r="BR6" s="50">
        <f>$C$8/80*61</f>
        <v>152500</v>
      </c>
      <c r="BS6" s="50">
        <f>$C$8/80*62</f>
        <v>155000</v>
      </c>
      <c r="BT6" s="50">
        <f>$C$8/80*63</f>
        <v>157500</v>
      </c>
      <c r="BU6" s="50">
        <f>$C$8/80*64</f>
        <v>160000</v>
      </c>
      <c r="BV6" s="50">
        <f>$C$8/80*65</f>
        <v>162500</v>
      </c>
      <c r="BW6" s="50">
        <f>$C$8/80*66</f>
        <v>165000</v>
      </c>
      <c r="BX6" s="50">
        <f>$C$8/80*67</f>
        <v>167500</v>
      </c>
      <c r="BY6" s="50">
        <f>$C$8/80*68</f>
        <v>170000</v>
      </c>
      <c r="BZ6" s="50">
        <f>$C$8/80*69</f>
        <v>172500</v>
      </c>
      <c r="CA6" s="50">
        <f>$C$8/80*70</f>
        <v>175000</v>
      </c>
      <c r="CB6" s="50">
        <f>$C$8/80*71</f>
        <v>177500</v>
      </c>
      <c r="CC6" s="50">
        <f>$C$8/80*72</f>
        <v>180000</v>
      </c>
      <c r="CD6" s="50">
        <f>$C$8/80*73</f>
        <v>182500</v>
      </c>
      <c r="CE6" s="50">
        <f>$C$8/80*74</f>
        <v>185000</v>
      </c>
      <c r="CF6" s="50">
        <f>$C$8/80*75</f>
        <v>187500</v>
      </c>
      <c r="CG6" s="50">
        <f>$C$8/80*76</f>
        <v>190000</v>
      </c>
      <c r="CH6" s="50">
        <f>$C$8/80*77</f>
        <v>192500</v>
      </c>
      <c r="CI6" s="50">
        <f>$C$8/80*78</f>
        <v>195000</v>
      </c>
      <c r="CJ6" s="50">
        <f>$C$8/80*79</f>
        <v>197500</v>
      </c>
      <c r="CK6" s="50">
        <f>$C$8/80*80</f>
        <v>200000</v>
      </c>
      <c r="CL6" s="50"/>
      <c r="CM6" s="50"/>
      <c r="CN6" s="52"/>
    </row>
    <row r="7" spans="1:92" ht="13.5" thickBot="1" x14ac:dyDescent="0.25">
      <c r="A7" s="161"/>
      <c r="B7" s="48" t="s">
        <v>96</v>
      </c>
      <c r="C7" s="87">
        <f>C6-(C6*C14)</f>
        <v>81690.035966110707</v>
      </c>
      <c r="D7" s="50" t="s">
        <v>82</v>
      </c>
      <c r="E7" s="52"/>
      <c r="G7" s="48"/>
      <c r="H7" s="50"/>
      <c r="I7" s="50"/>
      <c r="J7" s="53">
        <f>$C$8/80*1</f>
        <v>2500</v>
      </c>
      <c r="K7" s="54">
        <f>$C$8/80*2</f>
        <v>5000</v>
      </c>
      <c r="L7" s="54">
        <f>$C$8/80*3</f>
        <v>7500</v>
      </c>
      <c r="M7" s="54">
        <f>$C$8/80*4</f>
        <v>10000</v>
      </c>
      <c r="N7" s="55">
        <f>$C$8/80*5</f>
        <v>12500</v>
      </c>
      <c r="O7" s="56">
        <f>$C$8/80*6</f>
        <v>15000</v>
      </c>
      <c r="P7" s="54">
        <f>$C$8/80*7</f>
        <v>17500</v>
      </c>
      <c r="Q7" s="54">
        <f>$C$8/80*8</f>
        <v>20000</v>
      </c>
      <c r="R7" s="54">
        <f>$C$8/80*9</f>
        <v>22500</v>
      </c>
      <c r="S7" s="55">
        <f>$C$8/80*10</f>
        <v>25000</v>
      </c>
      <c r="T7" s="56">
        <f>$C$8/80*11</f>
        <v>27500</v>
      </c>
      <c r="U7" s="54">
        <f>$C$8/80*12</f>
        <v>30000</v>
      </c>
      <c r="V7" s="54">
        <f>$C$8/80*13</f>
        <v>32500</v>
      </c>
      <c r="W7" s="54">
        <f>$C$8/80*14</f>
        <v>35000</v>
      </c>
      <c r="X7" s="55">
        <f>$C$8/80*15</f>
        <v>37500</v>
      </c>
      <c r="Y7" s="56">
        <f>$C$8/80*16</f>
        <v>40000</v>
      </c>
      <c r="Z7" s="54">
        <f>$C$8/80*17</f>
        <v>42500</v>
      </c>
      <c r="AA7" s="54">
        <f>$C$8/80*18</f>
        <v>45000</v>
      </c>
      <c r="AB7" s="54">
        <f>$C$8/80*19</f>
        <v>47500</v>
      </c>
      <c r="AC7" s="55">
        <f>$C$8/80*20</f>
        <v>50000</v>
      </c>
      <c r="AD7" s="56">
        <f>$C$8/80*21</f>
        <v>52500</v>
      </c>
      <c r="AE7" s="54">
        <f>$C$8/80*22</f>
        <v>55000</v>
      </c>
      <c r="AF7" s="54">
        <f>$C$8/80*23</f>
        <v>57500</v>
      </c>
      <c r="AG7" s="54">
        <f>$C$8/80*24</f>
        <v>60000</v>
      </c>
      <c r="AH7" s="55">
        <f>$C$8/80*25</f>
        <v>62500</v>
      </c>
      <c r="AI7" s="56">
        <f>$C$8/80*26</f>
        <v>65000</v>
      </c>
      <c r="AJ7" s="54">
        <f>$C$8/80*27</f>
        <v>67500</v>
      </c>
      <c r="AK7" s="54">
        <f>$C$8/80*28</f>
        <v>70000</v>
      </c>
      <c r="AL7" s="54">
        <f>$C$8/80*29</f>
        <v>72500</v>
      </c>
      <c r="AM7" s="55">
        <f>$C$8/80*30</f>
        <v>75000</v>
      </c>
      <c r="AN7" s="56">
        <f>$C$8/80*31</f>
        <v>77500</v>
      </c>
      <c r="AO7" s="54">
        <f>$C$8/80*32</f>
        <v>80000</v>
      </c>
      <c r="AP7" s="54">
        <f>$C$8/80*33</f>
        <v>82500</v>
      </c>
      <c r="AQ7" s="54">
        <f>$C$8/80*34</f>
        <v>85000</v>
      </c>
      <c r="AR7" s="55">
        <f>$C$8/80*35</f>
        <v>87500</v>
      </c>
      <c r="AS7" s="56">
        <f>$C$8/80*36</f>
        <v>90000</v>
      </c>
      <c r="AT7" s="54">
        <f>$C$8/80*37</f>
        <v>92500</v>
      </c>
      <c r="AU7" s="54">
        <f>$C$8/80*38</f>
        <v>95000</v>
      </c>
      <c r="AV7" s="54">
        <f>$C$8/80*39</f>
        <v>97500</v>
      </c>
      <c r="AW7" s="55">
        <f>$C$8/80*40</f>
        <v>100000</v>
      </c>
      <c r="AX7" s="56">
        <f>$C$8/80*41</f>
        <v>102500</v>
      </c>
      <c r="AY7" s="54">
        <f>$C$8/80*42</f>
        <v>105000</v>
      </c>
      <c r="AZ7" s="54">
        <f>$C$8/80*43</f>
        <v>107500</v>
      </c>
      <c r="BA7" s="54">
        <f>$C$8/80*44</f>
        <v>110000</v>
      </c>
      <c r="BB7" s="55">
        <f>$C$8/80*45</f>
        <v>112500</v>
      </c>
      <c r="BC7" s="56">
        <f>$C$8/80*46</f>
        <v>115000</v>
      </c>
      <c r="BD7" s="54">
        <f>$C$8/80*47</f>
        <v>117500</v>
      </c>
      <c r="BE7" s="54">
        <f>$C$8/80*48</f>
        <v>120000</v>
      </c>
      <c r="BF7" s="54">
        <f>$C$8/80*49</f>
        <v>122500</v>
      </c>
      <c r="BG7" s="55">
        <f>$C$8/80*50</f>
        <v>125000</v>
      </c>
      <c r="BH7" s="56">
        <f>$C$8/80*51</f>
        <v>127500</v>
      </c>
      <c r="BI7" s="54">
        <f>$C$8/80*52</f>
        <v>130000</v>
      </c>
      <c r="BJ7" s="54">
        <f>$C$8/80*53</f>
        <v>132500</v>
      </c>
      <c r="BK7" s="54">
        <f>$C$8/80*54</f>
        <v>135000</v>
      </c>
      <c r="BL7" s="55">
        <f>$C$8/80*55</f>
        <v>137500</v>
      </c>
      <c r="BM7" s="56">
        <f>$C$8/80*56</f>
        <v>140000</v>
      </c>
      <c r="BN7" s="54">
        <f>$C$8/80*57</f>
        <v>142500</v>
      </c>
      <c r="BO7" s="54">
        <f>$C$8/80*58</f>
        <v>145000</v>
      </c>
      <c r="BP7" s="54">
        <f>$C$8/80*59</f>
        <v>147500</v>
      </c>
      <c r="BQ7" s="55">
        <f>$C$8/80*60</f>
        <v>150000</v>
      </c>
      <c r="BR7" s="56">
        <f>$C$8/80*61</f>
        <v>152500</v>
      </c>
      <c r="BS7" s="54">
        <f>$C$8/80*62</f>
        <v>155000</v>
      </c>
      <c r="BT7" s="54">
        <f>$C$8/80*63</f>
        <v>157500</v>
      </c>
      <c r="BU7" s="54">
        <f>$C$8/80*64</f>
        <v>160000</v>
      </c>
      <c r="BV7" s="55">
        <f>$C$8/80*65</f>
        <v>162500</v>
      </c>
      <c r="BW7" s="56">
        <f>$C$8/80*66</f>
        <v>165000</v>
      </c>
      <c r="BX7" s="54">
        <f>$C$8/80*67</f>
        <v>167500</v>
      </c>
      <c r="BY7" s="54">
        <f>$C$8/80*68</f>
        <v>170000</v>
      </c>
      <c r="BZ7" s="54">
        <f>$C$8/80*69</f>
        <v>172500</v>
      </c>
      <c r="CA7" s="55">
        <f>$C$8/80*70</f>
        <v>175000</v>
      </c>
      <c r="CB7" s="56">
        <f>$C$8/80*71</f>
        <v>177500</v>
      </c>
      <c r="CC7" s="54">
        <f>$C$8/80*72</f>
        <v>180000</v>
      </c>
      <c r="CD7" s="54">
        <f>$C$8/80*73</f>
        <v>182500</v>
      </c>
      <c r="CE7" s="54">
        <f>$C$8/80*74</f>
        <v>185000</v>
      </c>
      <c r="CF7" s="55">
        <f>$C$8/80*75</f>
        <v>187500</v>
      </c>
      <c r="CG7" s="56">
        <f>$C$8/80*76</f>
        <v>190000</v>
      </c>
      <c r="CH7" s="54">
        <f>$C$8/80*77</f>
        <v>192500</v>
      </c>
      <c r="CI7" s="54">
        <f>$C$8/80*78</f>
        <v>195000</v>
      </c>
      <c r="CJ7" s="54">
        <f>$C$8/80*79</f>
        <v>197500</v>
      </c>
      <c r="CK7" s="57">
        <f>$C$8/80*80</f>
        <v>200000</v>
      </c>
      <c r="CL7" s="50"/>
      <c r="CM7" s="50"/>
      <c r="CN7" s="52"/>
    </row>
    <row r="8" spans="1:92" x14ac:dyDescent="0.2">
      <c r="A8" s="161"/>
      <c r="B8" s="48" t="s">
        <v>83</v>
      </c>
      <c r="C8" s="81">
        <f>CEILING(C11,100000)</f>
        <v>200000</v>
      </c>
      <c r="D8" s="82" t="s">
        <v>84</v>
      </c>
      <c r="E8" s="52"/>
      <c r="G8" s="48"/>
      <c r="H8" s="50"/>
      <c r="I8" s="149">
        <v>0</v>
      </c>
      <c r="J8" s="149"/>
      <c r="K8" s="149"/>
      <c r="L8" s="58"/>
      <c r="M8" s="58"/>
      <c r="N8" s="58"/>
      <c r="O8" s="58"/>
      <c r="P8" s="58"/>
      <c r="Q8" s="149">
        <f>+C8/8/1000</f>
        <v>25</v>
      </c>
      <c r="R8" s="149"/>
      <c r="S8" s="149"/>
      <c r="T8" s="149"/>
      <c r="U8" s="149"/>
      <c r="V8" s="149"/>
      <c r="W8" s="58"/>
      <c r="X8" s="58"/>
      <c r="Y8" s="58"/>
      <c r="Z8" s="58"/>
      <c r="AA8" s="149">
        <f>C8/8*2/1000</f>
        <v>50</v>
      </c>
      <c r="AB8" s="149"/>
      <c r="AC8" s="149"/>
      <c r="AD8" s="149"/>
      <c r="AE8" s="149"/>
      <c r="AF8" s="149"/>
      <c r="AG8" s="58"/>
      <c r="AH8" s="58"/>
      <c r="AI8" s="58"/>
      <c r="AJ8" s="58"/>
      <c r="AK8" s="149">
        <f>C8/8*3/1000</f>
        <v>75</v>
      </c>
      <c r="AL8" s="149"/>
      <c r="AM8" s="149"/>
      <c r="AN8" s="149"/>
      <c r="AO8" s="149"/>
      <c r="AP8" s="149"/>
      <c r="AQ8" s="58"/>
      <c r="AR8" s="58"/>
      <c r="AS8" s="58"/>
      <c r="AT8" s="58"/>
      <c r="AU8" s="149">
        <f>C8/8*4/1000</f>
        <v>100</v>
      </c>
      <c r="AV8" s="149"/>
      <c r="AW8" s="149"/>
      <c r="AX8" s="149"/>
      <c r="AY8" s="149"/>
      <c r="AZ8" s="149"/>
      <c r="BA8" s="58"/>
      <c r="BB8" s="58"/>
      <c r="BC8" s="58"/>
      <c r="BD8" s="58"/>
      <c r="BE8" s="149">
        <f>C8/8*5/1000</f>
        <v>125</v>
      </c>
      <c r="BF8" s="149"/>
      <c r="BG8" s="149"/>
      <c r="BH8" s="149"/>
      <c r="BI8" s="149"/>
      <c r="BJ8" s="149"/>
      <c r="BK8" s="58"/>
      <c r="BL8" s="58"/>
      <c r="BM8" s="58"/>
      <c r="BN8" s="58"/>
      <c r="BO8" s="149">
        <f>C8/8*6/1000</f>
        <v>150</v>
      </c>
      <c r="BP8" s="149"/>
      <c r="BQ8" s="149"/>
      <c r="BR8" s="149"/>
      <c r="BS8" s="149"/>
      <c r="BT8" s="149"/>
      <c r="BU8" s="58"/>
      <c r="BV8" s="58"/>
      <c r="BW8" s="58"/>
      <c r="BX8" s="58"/>
      <c r="BY8" s="172">
        <f>C8/8*7/1000</f>
        <v>175</v>
      </c>
      <c r="BZ8" s="172"/>
      <c r="CA8" s="172"/>
      <c r="CB8" s="172"/>
      <c r="CC8" s="172"/>
      <c r="CD8" s="172"/>
      <c r="CE8" s="58"/>
      <c r="CF8" s="58"/>
      <c r="CG8" s="58"/>
      <c r="CH8" s="58"/>
      <c r="CI8" s="149">
        <f>C8/1000</f>
        <v>200</v>
      </c>
      <c r="CJ8" s="149"/>
      <c r="CK8" s="149"/>
      <c r="CL8" s="149"/>
      <c r="CM8" s="149"/>
      <c r="CN8" s="150"/>
    </row>
    <row r="9" spans="1:92" ht="6" customHeight="1" x14ac:dyDescent="0.2">
      <c r="A9" s="161"/>
      <c r="B9" s="48"/>
      <c r="C9" s="59"/>
      <c r="D9" s="60"/>
      <c r="E9" s="52"/>
      <c r="G9" s="48"/>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2"/>
    </row>
    <row r="10" spans="1:92" x14ac:dyDescent="0.2">
      <c r="A10" s="161"/>
      <c r="B10" s="48" t="s">
        <v>85</v>
      </c>
      <c r="C10" s="61">
        <f>VLOOKUP(C3,B25:E45,2)</f>
        <v>72790</v>
      </c>
      <c r="D10" s="50" t="s">
        <v>82</v>
      </c>
      <c r="E10" s="52"/>
      <c r="G10" s="48"/>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62" t="s">
        <v>86</v>
      </c>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2"/>
    </row>
    <row r="11" spans="1:92" x14ac:dyDescent="0.2">
      <c r="A11" s="161"/>
      <c r="B11" s="48" t="s">
        <v>87</v>
      </c>
      <c r="C11" s="61">
        <f>VLOOKUP(C3,B25:E45,3)</f>
        <v>105987</v>
      </c>
      <c r="D11" s="50" t="s">
        <v>82</v>
      </c>
      <c r="E11" s="52"/>
      <c r="G11" s="48"/>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62"/>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2"/>
    </row>
    <row r="12" spans="1:92" ht="13.5" thickBot="1" x14ac:dyDescent="0.25">
      <c r="A12" s="162"/>
      <c r="B12" s="63" t="s">
        <v>88</v>
      </c>
      <c r="C12" s="64">
        <f>VLOOKUP(C3,B25:E45,4)</f>
        <v>84402</v>
      </c>
      <c r="D12" s="65" t="s">
        <v>82</v>
      </c>
      <c r="E12" s="66"/>
      <c r="G12" s="48"/>
      <c r="H12" s="50"/>
      <c r="I12" s="50"/>
      <c r="J12" s="171" t="str">
        <f>C3</f>
        <v>Libraries - Large Gas Heat</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50"/>
      <c r="CM12" s="50"/>
      <c r="CN12" s="52"/>
    </row>
    <row r="13" spans="1:92" ht="6" customHeight="1" thickBot="1" x14ac:dyDescent="0.25">
      <c r="C13" s="67">
        <f>C12+(C8/70)</f>
        <v>87259.142857142855</v>
      </c>
      <c r="D13" s="67">
        <f>C6+(C8/80)</f>
        <v>98605.924666012594</v>
      </c>
      <c r="E13" s="67">
        <f>C7+(C8/80)</f>
        <v>84190.035966110707</v>
      </c>
      <c r="G13" s="48"/>
      <c r="H13" s="50"/>
      <c r="I13" s="50"/>
      <c r="J13" s="50"/>
      <c r="K13" s="50"/>
      <c r="L13" s="50"/>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2"/>
    </row>
    <row r="14" spans="1:92" ht="13.5" thickBot="1" x14ac:dyDescent="0.25">
      <c r="B14" t="s">
        <v>100</v>
      </c>
      <c r="C14" s="88">
        <v>0.15</v>
      </c>
      <c r="G14" s="48"/>
      <c r="H14" s="50"/>
      <c r="I14" s="50"/>
      <c r="J14" s="170" t="s">
        <v>89</v>
      </c>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51" t="s">
        <v>90</v>
      </c>
      <c r="AL14" s="151"/>
      <c r="AM14" s="69"/>
      <c r="AN14" s="70"/>
      <c r="AO14" s="71"/>
      <c r="AP14" s="71"/>
      <c r="AQ14" s="71"/>
      <c r="AR14" s="72"/>
      <c r="AS14" s="50"/>
      <c r="AT14" s="152">
        <f>C10</f>
        <v>72790</v>
      </c>
      <c r="AU14" s="152"/>
      <c r="AV14" s="152"/>
      <c r="AW14" s="152"/>
      <c r="AX14" s="152"/>
      <c r="AY14" s="152"/>
      <c r="AZ14" s="152"/>
      <c r="BA14" s="152"/>
      <c r="BB14" s="152"/>
      <c r="BC14" s="151" t="s">
        <v>91</v>
      </c>
      <c r="BD14" s="151"/>
      <c r="BE14" s="73"/>
      <c r="BF14" s="153">
        <f>C11</f>
        <v>105987</v>
      </c>
      <c r="BG14" s="153"/>
      <c r="BH14" s="153"/>
      <c r="BI14" s="153"/>
      <c r="BJ14" s="153"/>
      <c r="BK14" s="153"/>
      <c r="BL14" s="153"/>
      <c r="BM14" s="153"/>
      <c r="BN14" s="74" t="s">
        <v>92</v>
      </c>
      <c r="BO14" s="50"/>
      <c r="BP14" s="73"/>
      <c r="BQ14" s="73"/>
      <c r="BR14" s="73"/>
      <c r="BS14" s="73"/>
      <c r="BT14" s="73"/>
      <c r="BU14" s="50"/>
      <c r="BV14" s="74"/>
      <c r="BW14" s="68"/>
      <c r="BX14" s="68"/>
      <c r="BY14" s="68"/>
      <c r="BZ14" s="68"/>
      <c r="CA14" s="68"/>
      <c r="CB14" s="68"/>
      <c r="CC14" s="50"/>
      <c r="CD14" s="50"/>
      <c r="CE14" s="50"/>
      <c r="CF14" s="50"/>
      <c r="CG14" s="50"/>
      <c r="CH14" s="50"/>
      <c r="CI14" s="50"/>
      <c r="CJ14" s="50"/>
      <c r="CK14" s="50"/>
      <c r="CL14" s="50"/>
      <c r="CM14" s="50"/>
      <c r="CN14" s="52"/>
    </row>
    <row r="15" spans="1:92" ht="6" customHeight="1" x14ac:dyDescent="0.2">
      <c r="G15" s="48"/>
      <c r="H15" s="50"/>
      <c r="I15" s="50"/>
      <c r="J15" s="50"/>
      <c r="K15" s="50"/>
      <c r="L15" s="50"/>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2"/>
    </row>
    <row r="16" spans="1:92" x14ac:dyDescent="0.2">
      <c r="G16" s="48"/>
      <c r="H16" s="50"/>
      <c r="I16" s="50"/>
      <c r="J16" s="170" t="s">
        <v>88</v>
      </c>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51" t="s">
        <v>90</v>
      </c>
      <c r="AL16" s="151"/>
      <c r="AM16" s="50"/>
      <c r="AN16" s="50"/>
      <c r="AO16" s="50"/>
      <c r="AP16" s="75"/>
      <c r="AQ16" s="50"/>
      <c r="AR16" s="50"/>
      <c r="AS16" s="50"/>
      <c r="AT16" s="173">
        <f>C12</f>
        <v>84402</v>
      </c>
      <c r="AU16" s="173"/>
      <c r="AV16" s="173"/>
      <c r="AW16" s="173"/>
      <c r="AX16" s="173"/>
      <c r="AY16" s="173"/>
      <c r="AZ16" s="173"/>
      <c r="BA16" s="173"/>
      <c r="BB16" s="173"/>
      <c r="BC16" s="74" t="s">
        <v>92</v>
      </c>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2"/>
    </row>
    <row r="17" spans="2:92" ht="6" customHeight="1" x14ac:dyDescent="0.2">
      <c r="G17" s="48"/>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2"/>
    </row>
    <row r="18" spans="2:92" x14ac:dyDescent="0.2">
      <c r="B18" s="13"/>
      <c r="G18" s="48"/>
      <c r="H18" s="50"/>
      <c r="I18" s="50"/>
      <c r="J18" s="174" t="str">
        <f>C5</f>
        <v>Demo Library</v>
      </c>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1" t="s">
        <v>90</v>
      </c>
      <c r="AL18" s="171"/>
      <c r="AM18" s="77"/>
      <c r="AN18" s="50"/>
      <c r="AO18" s="50"/>
      <c r="AP18" s="78"/>
      <c r="AQ18" s="50"/>
      <c r="AR18" s="50"/>
      <c r="AS18" s="50"/>
      <c r="AT18" s="175">
        <f>C6</f>
        <v>96105.924666012594</v>
      </c>
      <c r="AU18" s="175"/>
      <c r="AV18" s="175"/>
      <c r="AW18" s="175"/>
      <c r="AX18" s="175"/>
      <c r="AY18" s="175"/>
      <c r="AZ18" s="175"/>
      <c r="BA18" s="175"/>
      <c r="BB18" s="175"/>
      <c r="BC18" s="80" t="s">
        <v>92</v>
      </c>
      <c r="BD18" s="77"/>
      <c r="BE18" s="77"/>
      <c r="BF18" s="77"/>
      <c r="BG18" s="77"/>
      <c r="BH18" s="77"/>
      <c r="BI18" s="77"/>
      <c r="BJ18" s="77"/>
      <c r="BK18" s="77"/>
      <c r="BL18" s="77"/>
      <c r="BM18" s="77"/>
      <c r="BN18" s="77"/>
      <c r="BO18" s="77"/>
      <c r="BP18" s="77"/>
      <c r="BQ18" s="77"/>
      <c r="BR18" s="77"/>
      <c r="BS18" s="77"/>
      <c r="BT18" s="77"/>
      <c r="BU18" s="77"/>
      <c r="BV18" s="77"/>
      <c r="BW18" s="77"/>
      <c r="BX18" s="77"/>
      <c r="BY18" s="77"/>
      <c r="BZ18" s="50"/>
      <c r="CA18" s="50"/>
      <c r="CB18" s="50"/>
      <c r="CC18" s="50"/>
      <c r="CD18" s="50"/>
      <c r="CE18" s="50"/>
      <c r="CF18" s="50"/>
      <c r="CG18" s="50"/>
      <c r="CH18" s="50"/>
      <c r="CI18" s="50"/>
      <c r="CJ18" s="50"/>
      <c r="CK18" s="50"/>
      <c r="CL18" s="50"/>
      <c r="CM18" s="50"/>
      <c r="CN18" s="52"/>
    </row>
    <row r="19" spans="2:92" ht="6" customHeight="1" thickBot="1" x14ac:dyDescent="0.25">
      <c r="B19" s="13"/>
      <c r="G19" s="63"/>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6"/>
    </row>
    <row r="20" spans="2:92" x14ac:dyDescent="0.2">
      <c r="B20" s="13"/>
    </row>
    <row r="21" spans="2:92" ht="13.5" thickBot="1" x14ac:dyDescent="0.25"/>
    <row r="22" spans="2:92" x14ac:dyDescent="0.2">
      <c r="C22" s="178" t="s">
        <v>192</v>
      </c>
      <c r="D22" s="178"/>
      <c r="E22" s="178"/>
      <c r="G22" s="157"/>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9"/>
    </row>
    <row r="23" spans="2:92" ht="15.75" x14ac:dyDescent="0.25">
      <c r="C23" s="113"/>
      <c r="D23" s="113"/>
      <c r="E23" s="113"/>
      <c r="G23" s="165" t="s">
        <v>79</v>
      </c>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7"/>
    </row>
    <row r="24" spans="2:92" ht="15.75" x14ac:dyDescent="0.25">
      <c r="C24" s="7" t="s">
        <v>93</v>
      </c>
      <c r="D24" s="7" t="s">
        <v>94</v>
      </c>
      <c r="E24" s="7" t="s">
        <v>88</v>
      </c>
      <c r="G24" s="45"/>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9" t="s">
        <v>80</v>
      </c>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7"/>
    </row>
    <row r="25" spans="2:92" x14ac:dyDescent="0.2">
      <c r="B25" s="18" t="s">
        <v>175</v>
      </c>
      <c r="C25" s="3">
        <v>55000</v>
      </c>
      <c r="D25" s="3">
        <v>205000</v>
      </c>
      <c r="E25" s="3">
        <v>97000</v>
      </c>
      <c r="G25" s="48"/>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1" t="str">
        <f>+C5</f>
        <v>Demo Library</v>
      </c>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2"/>
    </row>
    <row r="26" spans="2:92" ht="13.5" thickBot="1" x14ac:dyDescent="0.25">
      <c r="B26" s="142" t="s">
        <v>176</v>
      </c>
      <c r="C26" s="3">
        <v>24000</v>
      </c>
      <c r="D26" s="3">
        <v>125000</v>
      </c>
      <c r="E26" s="3">
        <v>59672</v>
      </c>
      <c r="G26" s="48"/>
      <c r="H26" s="50"/>
      <c r="I26" s="50"/>
      <c r="J26" s="50">
        <f>$C$8/80*1</f>
        <v>2500</v>
      </c>
      <c r="K26" s="50">
        <f>$C$8/80*2</f>
        <v>5000</v>
      </c>
      <c r="L26" s="50">
        <f>$C$8/80*3</f>
        <v>7500</v>
      </c>
      <c r="M26" s="50">
        <f>$C$8/80*4</f>
        <v>10000</v>
      </c>
      <c r="N26" s="50">
        <f>$C$8/80*5</f>
        <v>12500</v>
      </c>
      <c r="O26" s="50">
        <f>$C$8/80*6</f>
        <v>15000</v>
      </c>
      <c r="P26" s="50">
        <f>$C$8/80*7</f>
        <v>17500</v>
      </c>
      <c r="Q26" s="50">
        <f>$C$8/80*8</f>
        <v>20000</v>
      </c>
      <c r="R26" s="50">
        <f>$C$8/80*9</f>
        <v>22500</v>
      </c>
      <c r="S26" s="50">
        <f>$C$8/80*10</f>
        <v>25000</v>
      </c>
      <c r="T26" s="50">
        <f>$C$8/80*11</f>
        <v>27500</v>
      </c>
      <c r="U26" s="50">
        <f>$C$8/80*12</f>
        <v>30000</v>
      </c>
      <c r="V26" s="50">
        <f>$C$8/80*13</f>
        <v>32500</v>
      </c>
      <c r="W26" s="50">
        <f>$C$8/80*14</f>
        <v>35000</v>
      </c>
      <c r="X26" s="50">
        <f>$C$8/80*15</f>
        <v>37500</v>
      </c>
      <c r="Y26" s="50">
        <f>$C$8/80*16</f>
        <v>40000</v>
      </c>
      <c r="Z26" s="50">
        <f>$C$8/80*17</f>
        <v>42500</v>
      </c>
      <c r="AA26" s="50">
        <f>$C$8/80*18</f>
        <v>45000</v>
      </c>
      <c r="AB26" s="50">
        <f>$C$8/80*19</f>
        <v>47500</v>
      </c>
      <c r="AC26" s="50">
        <f>$C$8/80*20</f>
        <v>50000</v>
      </c>
      <c r="AD26" s="50">
        <f>$C$8/80*21</f>
        <v>52500</v>
      </c>
      <c r="AE26" s="50">
        <f>$C$8/80*22</f>
        <v>55000</v>
      </c>
      <c r="AF26" s="50">
        <f>$C$8/80*23</f>
        <v>57500</v>
      </c>
      <c r="AG26" s="50">
        <f>$C$8/80*24</f>
        <v>60000</v>
      </c>
      <c r="AH26" s="50">
        <f>$C$8/80*25</f>
        <v>62500</v>
      </c>
      <c r="AI26" s="50">
        <f>$C$8/80*26</f>
        <v>65000</v>
      </c>
      <c r="AJ26" s="50">
        <f>$C$8/80*27</f>
        <v>67500</v>
      </c>
      <c r="AK26" s="50">
        <f>$C$8/80*28</f>
        <v>70000</v>
      </c>
      <c r="AL26" s="50">
        <f>$C$8/80*29</f>
        <v>72500</v>
      </c>
      <c r="AM26" s="50">
        <f>$C$8/80*30</f>
        <v>75000</v>
      </c>
      <c r="AN26" s="50">
        <f>$C$8/80*31</f>
        <v>77500</v>
      </c>
      <c r="AO26" s="50">
        <f>$C$8/80*32</f>
        <v>80000</v>
      </c>
      <c r="AP26" s="50">
        <f>$C$8/80*33</f>
        <v>82500</v>
      </c>
      <c r="AQ26" s="50">
        <f>$C$8/80*34</f>
        <v>85000</v>
      </c>
      <c r="AR26" s="50">
        <f>$C$8/80*35</f>
        <v>87500</v>
      </c>
      <c r="AS26" s="50">
        <f>$C$8/80*36</f>
        <v>90000</v>
      </c>
      <c r="AT26" s="50">
        <f>$C$8/80*37</f>
        <v>92500</v>
      </c>
      <c r="AU26" s="50">
        <f>$C$8/80*38</f>
        <v>95000</v>
      </c>
      <c r="AV26" s="50">
        <f>$C$8/80*39</f>
        <v>97500</v>
      </c>
      <c r="AW26" s="50">
        <f>$C$8/80*40</f>
        <v>100000</v>
      </c>
      <c r="AX26" s="50">
        <f>$C$8/80*41</f>
        <v>102500</v>
      </c>
      <c r="AY26" s="50">
        <f>$C$8/80*42</f>
        <v>105000</v>
      </c>
      <c r="AZ26" s="50">
        <f>$C$8/80*43</f>
        <v>107500</v>
      </c>
      <c r="BA26" s="50">
        <f>$C$8/80*44</f>
        <v>110000</v>
      </c>
      <c r="BB26" s="50">
        <f>$C$8/80*45</f>
        <v>112500</v>
      </c>
      <c r="BC26" s="50">
        <f>$C$8/80*46</f>
        <v>115000</v>
      </c>
      <c r="BD26" s="50">
        <f>$C$8/80*47</f>
        <v>117500</v>
      </c>
      <c r="BE26" s="50">
        <f>$C$8/80*48</f>
        <v>120000</v>
      </c>
      <c r="BF26" s="50">
        <f>$C$8/80*49</f>
        <v>122500</v>
      </c>
      <c r="BG26" s="50">
        <f>$C$8/80*50</f>
        <v>125000</v>
      </c>
      <c r="BH26" s="50">
        <f>$C$8/80*51</f>
        <v>127500</v>
      </c>
      <c r="BI26" s="50">
        <f>$C$8/80*52</f>
        <v>130000</v>
      </c>
      <c r="BJ26" s="50">
        <f>$C$8/80*53</f>
        <v>132500</v>
      </c>
      <c r="BK26" s="50">
        <f>$C$8/80*54</f>
        <v>135000</v>
      </c>
      <c r="BL26" s="50">
        <f>$C$8/80*55</f>
        <v>137500</v>
      </c>
      <c r="BM26" s="50">
        <f>$C$8/80*56</f>
        <v>140000</v>
      </c>
      <c r="BN26" s="50">
        <f>$C$8/80*57</f>
        <v>142500</v>
      </c>
      <c r="BO26" s="50">
        <f>$C$8/80*58</f>
        <v>145000</v>
      </c>
      <c r="BP26" s="50">
        <f>$C$8/80*59</f>
        <v>147500</v>
      </c>
      <c r="BQ26" s="50">
        <f>$C$8/80*60</f>
        <v>150000</v>
      </c>
      <c r="BR26" s="50">
        <f>$C$8/80*61</f>
        <v>152500</v>
      </c>
      <c r="BS26" s="50">
        <f>$C$8/80*62</f>
        <v>155000</v>
      </c>
      <c r="BT26" s="50">
        <f>$C$8/80*63</f>
        <v>157500</v>
      </c>
      <c r="BU26" s="50">
        <f>$C$8/80*64</f>
        <v>160000</v>
      </c>
      <c r="BV26" s="50">
        <f>$C$8/80*65</f>
        <v>162500</v>
      </c>
      <c r="BW26" s="50">
        <f>$C$8/80*66</f>
        <v>165000</v>
      </c>
      <c r="BX26" s="50">
        <f>$C$8/80*67</f>
        <v>167500</v>
      </c>
      <c r="BY26" s="50">
        <f>$C$8/80*68</f>
        <v>170000</v>
      </c>
      <c r="BZ26" s="50">
        <f>$C$8/80*69</f>
        <v>172500</v>
      </c>
      <c r="CA26" s="50">
        <f>$C$8/80*70</f>
        <v>175000</v>
      </c>
      <c r="CB26" s="50">
        <f>$C$8/80*71</f>
        <v>177500</v>
      </c>
      <c r="CC26" s="50">
        <f>$C$8/80*72</f>
        <v>180000</v>
      </c>
      <c r="CD26" s="50">
        <f>$C$8/80*73</f>
        <v>182500</v>
      </c>
      <c r="CE26" s="50">
        <f>$C$8/80*74</f>
        <v>185000</v>
      </c>
      <c r="CF26" s="50">
        <f>$C$8/80*75</f>
        <v>187500</v>
      </c>
      <c r="CG26" s="50">
        <f>$C$8/80*76</f>
        <v>190000</v>
      </c>
      <c r="CH26" s="50">
        <f>$C$8/80*77</f>
        <v>192500</v>
      </c>
      <c r="CI26" s="50">
        <f>$C$8/80*78</f>
        <v>195000</v>
      </c>
      <c r="CJ26" s="50">
        <f>$C$8/80*79</f>
        <v>197500</v>
      </c>
      <c r="CK26" s="50">
        <f>$C$8/80*80</f>
        <v>200000</v>
      </c>
      <c r="CL26" s="50"/>
      <c r="CM26" s="50"/>
      <c r="CN26" s="52"/>
    </row>
    <row r="27" spans="2:92" ht="13.5" thickBot="1" x14ac:dyDescent="0.25">
      <c r="B27" s="18" t="s">
        <v>177</v>
      </c>
      <c r="C27" s="3">
        <v>178000</v>
      </c>
      <c r="D27" s="3">
        <v>475000</v>
      </c>
      <c r="E27" s="3">
        <v>280000</v>
      </c>
      <c r="G27" s="48"/>
      <c r="H27" s="50"/>
      <c r="I27" s="50"/>
      <c r="J27" s="53">
        <f>$C$8/80*1</f>
        <v>2500</v>
      </c>
      <c r="K27" s="54">
        <f>$C$8/80*2</f>
        <v>5000</v>
      </c>
      <c r="L27" s="54">
        <f>$C$8/80*3</f>
        <v>7500</v>
      </c>
      <c r="M27" s="54">
        <f>$C$8/80*4</f>
        <v>10000</v>
      </c>
      <c r="N27" s="55">
        <f>$C$8/80*5</f>
        <v>12500</v>
      </c>
      <c r="O27" s="56">
        <f>$C$8/80*6</f>
        <v>15000</v>
      </c>
      <c r="P27" s="54">
        <f>$C$8/80*7</f>
        <v>17500</v>
      </c>
      <c r="Q27" s="54">
        <f>$C$8/80*8</f>
        <v>20000</v>
      </c>
      <c r="R27" s="54">
        <f>$C$8/80*9</f>
        <v>22500</v>
      </c>
      <c r="S27" s="55">
        <f>$C$8/80*10</f>
        <v>25000</v>
      </c>
      <c r="T27" s="56">
        <f>$C$8/80*11</f>
        <v>27500</v>
      </c>
      <c r="U27" s="54">
        <f>$C$8/80*12</f>
        <v>30000</v>
      </c>
      <c r="V27" s="54">
        <f>$C$8/80*13</f>
        <v>32500</v>
      </c>
      <c r="W27" s="54">
        <f>$C$8/80*14</f>
        <v>35000</v>
      </c>
      <c r="X27" s="55">
        <f>$C$8/80*15</f>
        <v>37500</v>
      </c>
      <c r="Y27" s="56">
        <f>$C$8/80*16</f>
        <v>40000</v>
      </c>
      <c r="Z27" s="54">
        <f>$C$8/80*17</f>
        <v>42500</v>
      </c>
      <c r="AA27" s="54">
        <f>$C$8/80*18</f>
        <v>45000</v>
      </c>
      <c r="AB27" s="54">
        <f>$C$8/80*19</f>
        <v>47500</v>
      </c>
      <c r="AC27" s="55">
        <f>$C$8/80*20</f>
        <v>50000</v>
      </c>
      <c r="AD27" s="56">
        <f>$C$8/80*21</f>
        <v>52500</v>
      </c>
      <c r="AE27" s="54">
        <f>$C$8/80*22</f>
        <v>55000</v>
      </c>
      <c r="AF27" s="54">
        <f>$C$8/80*23</f>
        <v>57500</v>
      </c>
      <c r="AG27" s="54">
        <f>$C$8/80*24</f>
        <v>60000</v>
      </c>
      <c r="AH27" s="55">
        <f>$C$8/80*25</f>
        <v>62500</v>
      </c>
      <c r="AI27" s="56">
        <f>$C$8/80*26</f>
        <v>65000</v>
      </c>
      <c r="AJ27" s="54">
        <f>$C$8/80*27</f>
        <v>67500</v>
      </c>
      <c r="AK27" s="54">
        <f>$C$8/80*28</f>
        <v>70000</v>
      </c>
      <c r="AL27" s="54">
        <f>$C$8/80*29</f>
        <v>72500</v>
      </c>
      <c r="AM27" s="55">
        <f>$C$8/80*30</f>
        <v>75000</v>
      </c>
      <c r="AN27" s="56">
        <f>$C$8/80*31</f>
        <v>77500</v>
      </c>
      <c r="AO27" s="54">
        <f>$C$8/80*32</f>
        <v>80000</v>
      </c>
      <c r="AP27" s="54">
        <f>$C$8/80*33</f>
        <v>82500</v>
      </c>
      <c r="AQ27" s="54">
        <f>$C$8/80*34</f>
        <v>85000</v>
      </c>
      <c r="AR27" s="55">
        <f>$C$8/80*35</f>
        <v>87500</v>
      </c>
      <c r="AS27" s="56">
        <f>$C$8/80*36</f>
        <v>90000</v>
      </c>
      <c r="AT27" s="54">
        <f>$C$8/80*37</f>
        <v>92500</v>
      </c>
      <c r="AU27" s="54">
        <f>$C$8/80*38</f>
        <v>95000</v>
      </c>
      <c r="AV27" s="54">
        <f>$C$8/80*39</f>
        <v>97500</v>
      </c>
      <c r="AW27" s="55">
        <f>$C$8/80*40</f>
        <v>100000</v>
      </c>
      <c r="AX27" s="56">
        <f>$C$8/80*41</f>
        <v>102500</v>
      </c>
      <c r="AY27" s="54">
        <f>$C$8/80*42</f>
        <v>105000</v>
      </c>
      <c r="AZ27" s="54">
        <f>$C$8/80*43</f>
        <v>107500</v>
      </c>
      <c r="BA27" s="54">
        <f>$C$8/80*44</f>
        <v>110000</v>
      </c>
      <c r="BB27" s="55">
        <f>$C$8/80*45</f>
        <v>112500</v>
      </c>
      <c r="BC27" s="56">
        <f>$C$8/80*46</f>
        <v>115000</v>
      </c>
      <c r="BD27" s="54">
        <f>$C$8/80*47</f>
        <v>117500</v>
      </c>
      <c r="BE27" s="54">
        <f>$C$8/80*48</f>
        <v>120000</v>
      </c>
      <c r="BF27" s="54">
        <f>$C$8/80*49</f>
        <v>122500</v>
      </c>
      <c r="BG27" s="55">
        <f>$C$8/80*50</f>
        <v>125000</v>
      </c>
      <c r="BH27" s="56">
        <f>$C$8/80*51</f>
        <v>127500</v>
      </c>
      <c r="BI27" s="54">
        <f>$C$8/80*52</f>
        <v>130000</v>
      </c>
      <c r="BJ27" s="54">
        <f>$C$8/80*53</f>
        <v>132500</v>
      </c>
      <c r="BK27" s="54">
        <f>$C$8/80*54</f>
        <v>135000</v>
      </c>
      <c r="BL27" s="55">
        <f>$C$8/80*55</f>
        <v>137500</v>
      </c>
      <c r="BM27" s="56">
        <f>$C$8/80*56</f>
        <v>140000</v>
      </c>
      <c r="BN27" s="54">
        <f>$C$8/80*57</f>
        <v>142500</v>
      </c>
      <c r="BO27" s="54">
        <f>$C$8/80*58</f>
        <v>145000</v>
      </c>
      <c r="BP27" s="54">
        <f>$C$8/80*59</f>
        <v>147500</v>
      </c>
      <c r="BQ27" s="55">
        <f>$C$8/80*60</f>
        <v>150000</v>
      </c>
      <c r="BR27" s="56">
        <f>$C$8/80*61</f>
        <v>152500</v>
      </c>
      <c r="BS27" s="54">
        <f>$C$8/80*62</f>
        <v>155000</v>
      </c>
      <c r="BT27" s="54">
        <f>$C$8/80*63</f>
        <v>157500</v>
      </c>
      <c r="BU27" s="54">
        <f>$C$8/80*64</f>
        <v>160000</v>
      </c>
      <c r="BV27" s="55">
        <f>$C$8/80*65</f>
        <v>162500</v>
      </c>
      <c r="BW27" s="56">
        <f>$C$8/80*66</f>
        <v>165000</v>
      </c>
      <c r="BX27" s="54">
        <f>$C$8/80*67</f>
        <v>167500</v>
      </c>
      <c r="BY27" s="54">
        <f>$C$8/80*68</f>
        <v>170000</v>
      </c>
      <c r="BZ27" s="54">
        <f>$C$8/80*69</f>
        <v>172500</v>
      </c>
      <c r="CA27" s="55">
        <f>$C$8/80*70</f>
        <v>175000</v>
      </c>
      <c r="CB27" s="56">
        <f>$C$8/80*71</f>
        <v>177500</v>
      </c>
      <c r="CC27" s="54">
        <f>$C$8/80*72</f>
        <v>180000</v>
      </c>
      <c r="CD27" s="54">
        <f>$C$8/80*73</f>
        <v>182500</v>
      </c>
      <c r="CE27" s="54">
        <f>$C$8/80*74</f>
        <v>185000</v>
      </c>
      <c r="CF27" s="55">
        <f>$C$8/80*75</f>
        <v>187500</v>
      </c>
      <c r="CG27" s="56">
        <f>$C$8/80*76</f>
        <v>190000</v>
      </c>
      <c r="CH27" s="54">
        <f>$C$8/80*77</f>
        <v>192500</v>
      </c>
      <c r="CI27" s="54">
        <f>$C$8/80*78</f>
        <v>195000</v>
      </c>
      <c r="CJ27" s="54">
        <f>$C$8/80*79</f>
        <v>197500</v>
      </c>
      <c r="CK27" s="57">
        <f>$C$8/80*80</f>
        <v>200000</v>
      </c>
      <c r="CL27" s="50"/>
      <c r="CM27" s="50"/>
      <c r="CN27" s="52"/>
    </row>
    <row r="28" spans="2:92" x14ac:dyDescent="0.2">
      <c r="B28" s="18" t="s">
        <v>178</v>
      </c>
      <c r="C28" s="3">
        <v>100000</v>
      </c>
      <c r="D28" s="3">
        <v>375000</v>
      </c>
      <c r="E28" s="3">
        <v>125000</v>
      </c>
      <c r="G28" s="48"/>
      <c r="H28" s="50"/>
      <c r="I28" s="149">
        <v>0</v>
      </c>
      <c r="J28" s="149"/>
      <c r="K28" s="149"/>
      <c r="L28" s="58"/>
      <c r="M28" s="58"/>
      <c r="N28" s="58"/>
      <c r="O28" s="58"/>
      <c r="P28" s="58"/>
      <c r="Q28" s="149">
        <f>+C8/8/1000</f>
        <v>25</v>
      </c>
      <c r="R28" s="149"/>
      <c r="S28" s="149"/>
      <c r="T28" s="149"/>
      <c r="U28" s="149"/>
      <c r="V28" s="149"/>
      <c r="W28" s="58"/>
      <c r="X28" s="58"/>
      <c r="Y28" s="58"/>
      <c r="Z28" s="58"/>
      <c r="AA28" s="149">
        <f>C8/8*2/1000</f>
        <v>50</v>
      </c>
      <c r="AB28" s="149"/>
      <c r="AC28" s="149"/>
      <c r="AD28" s="149"/>
      <c r="AE28" s="149"/>
      <c r="AF28" s="149"/>
      <c r="AG28" s="58"/>
      <c r="AH28" s="58"/>
      <c r="AI28" s="58"/>
      <c r="AJ28" s="58"/>
      <c r="AK28" s="149">
        <f>C8/8*3/1000</f>
        <v>75</v>
      </c>
      <c r="AL28" s="149"/>
      <c r="AM28" s="149"/>
      <c r="AN28" s="149"/>
      <c r="AO28" s="149"/>
      <c r="AP28" s="149"/>
      <c r="AQ28" s="58"/>
      <c r="AR28" s="58"/>
      <c r="AS28" s="58"/>
      <c r="AT28" s="58"/>
      <c r="AU28" s="149">
        <f>C8/8*4/1000</f>
        <v>100</v>
      </c>
      <c r="AV28" s="149"/>
      <c r="AW28" s="149"/>
      <c r="AX28" s="149"/>
      <c r="AY28" s="149"/>
      <c r="AZ28" s="149"/>
      <c r="BA28" s="58"/>
      <c r="BB28" s="58"/>
      <c r="BC28" s="58"/>
      <c r="BD28" s="58"/>
      <c r="BE28" s="149">
        <f>C8/8*5/1000</f>
        <v>125</v>
      </c>
      <c r="BF28" s="149"/>
      <c r="BG28" s="149"/>
      <c r="BH28" s="149"/>
      <c r="BI28" s="149"/>
      <c r="BJ28" s="149"/>
      <c r="BK28" s="58"/>
      <c r="BL28" s="58"/>
      <c r="BM28" s="58"/>
      <c r="BN28" s="58"/>
      <c r="BO28" s="149">
        <f>C8/8*6/1000</f>
        <v>150</v>
      </c>
      <c r="BP28" s="149"/>
      <c r="BQ28" s="149"/>
      <c r="BR28" s="149"/>
      <c r="BS28" s="149"/>
      <c r="BT28" s="149"/>
      <c r="BU28" s="58"/>
      <c r="BV28" s="58"/>
      <c r="BW28" s="58"/>
      <c r="BX28" s="58"/>
      <c r="BY28" s="172">
        <f>C8/8*7/1000</f>
        <v>175</v>
      </c>
      <c r="BZ28" s="172"/>
      <c r="CA28" s="172"/>
      <c r="CB28" s="172"/>
      <c r="CC28" s="172"/>
      <c r="CD28" s="172"/>
      <c r="CE28" s="58"/>
      <c r="CF28" s="58"/>
      <c r="CG28" s="58"/>
      <c r="CH28" s="58"/>
      <c r="CI28" s="149">
        <f>C8/1000</f>
        <v>200</v>
      </c>
      <c r="CJ28" s="149"/>
      <c r="CK28" s="149"/>
      <c r="CL28" s="149"/>
      <c r="CM28" s="149"/>
      <c r="CN28" s="150"/>
    </row>
    <row r="29" spans="2:92" x14ac:dyDescent="0.2">
      <c r="B29" s="143" t="s">
        <v>193</v>
      </c>
      <c r="C29" s="3">
        <v>35000</v>
      </c>
      <c r="D29" s="3">
        <v>87000</v>
      </c>
      <c r="E29" s="3">
        <v>50000</v>
      </c>
      <c r="G29" s="48"/>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2"/>
    </row>
    <row r="30" spans="2:92" x14ac:dyDescent="0.2">
      <c r="B30" s="143" t="s">
        <v>194</v>
      </c>
      <c r="C30" s="3">
        <v>35000</v>
      </c>
      <c r="D30" s="3">
        <v>87000</v>
      </c>
      <c r="E30" s="3">
        <v>54000</v>
      </c>
      <c r="G30" s="48"/>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62" t="s">
        <v>86</v>
      </c>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2"/>
    </row>
    <row r="31" spans="2:92" x14ac:dyDescent="0.2">
      <c r="B31" s="145" t="s">
        <v>195</v>
      </c>
      <c r="C31" s="3">
        <v>35000</v>
      </c>
      <c r="D31" s="3">
        <v>87000</v>
      </c>
      <c r="E31" s="3">
        <v>52000</v>
      </c>
      <c r="G31" s="48"/>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62"/>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2"/>
    </row>
    <row r="32" spans="2:92" x14ac:dyDescent="0.2">
      <c r="B32" s="142" t="s">
        <v>179</v>
      </c>
      <c r="C32" s="3">
        <v>150000</v>
      </c>
      <c r="D32" s="3">
        <v>410000</v>
      </c>
      <c r="E32" s="3">
        <v>170191</v>
      </c>
      <c r="G32" s="48"/>
      <c r="H32" s="50"/>
      <c r="I32" s="50"/>
      <c r="J32" s="171" t="str">
        <f>C3</f>
        <v>Libraries - Large Gas Heat</v>
      </c>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50"/>
      <c r="CM32" s="50"/>
      <c r="CN32" s="52"/>
    </row>
    <row r="33" spans="2:92" ht="13.5" thickBot="1" x14ac:dyDescent="0.25">
      <c r="B33" s="18" t="s">
        <v>180</v>
      </c>
      <c r="C33" s="3">
        <v>24000</v>
      </c>
      <c r="D33" s="3">
        <v>150000</v>
      </c>
      <c r="E33" s="3">
        <v>85000</v>
      </c>
      <c r="G33" s="48"/>
      <c r="H33" s="50"/>
      <c r="I33" s="50"/>
      <c r="J33" s="50"/>
      <c r="K33" s="50"/>
      <c r="L33" s="50"/>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2"/>
    </row>
    <row r="34" spans="2:92" ht="13.5" thickBot="1" x14ac:dyDescent="0.25">
      <c r="B34" s="18" t="s">
        <v>181</v>
      </c>
      <c r="C34" s="3">
        <v>60000</v>
      </c>
      <c r="D34" s="3">
        <v>305000</v>
      </c>
      <c r="E34" s="3">
        <v>210000</v>
      </c>
      <c r="G34" s="48"/>
      <c r="H34" s="50"/>
      <c r="I34" s="50"/>
      <c r="J34" s="170" t="s">
        <v>89</v>
      </c>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51" t="s">
        <v>90</v>
      </c>
      <c r="AL34" s="151"/>
      <c r="AM34" s="69"/>
      <c r="AN34" s="70"/>
      <c r="AO34" s="71"/>
      <c r="AP34" s="71"/>
      <c r="AQ34" s="71"/>
      <c r="AR34" s="72"/>
      <c r="AS34" s="50"/>
      <c r="AT34" s="152">
        <f>C10</f>
        <v>72790</v>
      </c>
      <c r="AU34" s="152"/>
      <c r="AV34" s="152"/>
      <c r="AW34" s="152"/>
      <c r="AX34" s="152"/>
      <c r="AY34" s="152"/>
      <c r="AZ34" s="152"/>
      <c r="BA34" s="152"/>
      <c r="BB34" s="152"/>
      <c r="BC34" s="151" t="s">
        <v>91</v>
      </c>
      <c r="BD34" s="151"/>
      <c r="BE34" s="73"/>
      <c r="BF34" s="153">
        <f>C11</f>
        <v>105987</v>
      </c>
      <c r="BG34" s="153"/>
      <c r="BH34" s="153"/>
      <c r="BI34" s="153"/>
      <c r="BJ34" s="153"/>
      <c r="BK34" s="153"/>
      <c r="BL34" s="153"/>
      <c r="BM34" s="153"/>
      <c r="BN34" s="74" t="s">
        <v>92</v>
      </c>
      <c r="BO34" s="50"/>
      <c r="BP34" s="73"/>
      <c r="BQ34" s="73"/>
      <c r="BR34" s="73"/>
      <c r="BS34" s="73"/>
      <c r="BT34" s="73"/>
      <c r="BU34" s="50"/>
      <c r="BV34" s="74"/>
      <c r="BW34" s="68"/>
      <c r="BX34" s="68"/>
      <c r="BY34" s="68"/>
      <c r="BZ34" s="68"/>
      <c r="CA34" s="68"/>
      <c r="CB34" s="68"/>
      <c r="CC34" s="50"/>
      <c r="CD34" s="50"/>
      <c r="CE34" s="50"/>
      <c r="CF34" s="50"/>
      <c r="CG34" s="50"/>
      <c r="CH34" s="50"/>
      <c r="CI34" s="50"/>
      <c r="CJ34" s="50"/>
      <c r="CK34" s="50"/>
      <c r="CL34" s="50"/>
      <c r="CM34" s="50"/>
      <c r="CN34" s="52"/>
    </row>
    <row r="35" spans="2:92" x14ac:dyDescent="0.2">
      <c r="B35" s="142" t="s">
        <v>182</v>
      </c>
      <c r="C35" s="3">
        <v>100000</v>
      </c>
      <c r="D35" s="3">
        <v>315000</v>
      </c>
      <c r="E35" s="3">
        <v>123066</v>
      </c>
      <c r="G35" s="48"/>
      <c r="H35" s="50"/>
      <c r="I35" s="50"/>
      <c r="J35" s="50"/>
      <c r="K35" s="50"/>
      <c r="L35" s="50"/>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2"/>
    </row>
    <row r="36" spans="2:92" x14ac:dyDescent="0.2">
      <c r="B36" s="142" t="s">
        <v>183</v>
      </c>
      <c r="C36" s="3">
        <v>77000</v>
      </c>
      <c r="D36" s="3">
        <v>260000</v>
      </c>
      <c r="E36" s="3">
        <v>118727</v>
      </c>
      <c r="G36" s="48"/>
      <c r="H36" s="50"/>
      <c r="I36" s="50"/>
      <c r="J36" s="170" t="s">
        <v>88</v>
      </c>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51" t="s">
        <v>90</v>
      </c>
      <c r="AL36" s="151"/>
      <c r="AM36" s="50"/>
      <c r="AN36" s="50"/>
      <c r="AO36" s="50"/>
      <c r="AP36" s="75"/>
      <c r="AQ36" s="50"/>
      <c r="AR36" s="50"/>
      <c r="AS36" s="50"/>
      <c r="AT36" s="173">
        <f>C12</f>
        <v>84402</v>
      </c>
      <c r="AU36" s="173"/>
      <c r="AV36" s="173"/>
      <c r="AW36" s="173"/>
      <c r="AX36" s="173"/>
      <c r="AY36" s="173"/>
      <c r="AZ36" s="173"/>
      <c r="BA36" s="173"/>
      <c r="BB36" s="173"/>
      <c r="BC36" s="74" t="s">
        <v>92</v>
      </c>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2"/>
    </row>
    <row r="37" spans="2:92" x14ac:dyDescent="0.2">
      <c r="B37" s="142" t="s">
        <v>184</v>
      </c>
      <c r="C37" s="3">
        <v>50000</v>
      </c>
      <c r="D37" s="3">
        <v>150000</v>
      </c>
      <c r="E37" s="3">
        <v>100000</v>
      </c>
      <c r="G37" s="48"/>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2"/>
    </row>
    <row r="38" spans="2:92" x14ac:dyDescent="0.2">
      <c r="B38" s="142" t="s">
        <v>185</v>
      </c>
      <c r="C38" s="3">
        <v>72790</v>
      </c>
      <c r="D38" s="3">
        <v>105987</v>
      </c>
      <c r="E38" s="3">
        <v>84402</v>
      </c>
      <c r="G38" s="48"/>
      <c r="H38" s="50"/>
      <c r="I38" s="50"/>
      <c r="J38" s="174" t="str">
        <f>C5</f>
        <v>Demo Library</v>
      </c>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1" t="s">
        <v>90</v>
      </c>
      <c r="AL38" s="171"/>
      <c r="AM38" s="77"/>
      <c r="AN38" s="50"/>
      <c r="AO38" s="50"/>
      <c r="AP38" s="78"/>
      <c r="AQ38" s="50"/>
      <c r="AR38" s="50"/>
      <c r="AS38" s="50"/>
      <c r="AT38" s="175">
        <f>C6</f>
        <v>96105.924666012594</v>
      </c>
      <c r="AU38" s="175"/>
      <c r="AV38" s="175"/>
      <c r="AW38" s="175"/>
      <c r="AX38" s="175"/>
      <c r="AY38" s="175"/>
      <c r="AZ38" s="175"/>
      <c r="BA38" s="175"/>
      <c r="BB38" s="175"/>
      <c r="BC38" s="80" t="s">
        <v>92</v>
      </c>
      <c r="BD38" s="77"/>
      <c r="BE38" s="77"/>
      <c r="BF38" s="77"/>
      <c r="BG38" s="77"/>
      <c r="BH38" s="77"/>
      <c r="BI38" s="77"/>
      <c r="BJ38" s="77"/>
      <c r="BK38" s="77"/>
      <c r="BL38" s="77"/>
      <c r="BM38" s="77"/>
      <c r="BN38" s="77"/>
      <c r="BO38" s="77"/>
      <c r="BP38" s="77"/>
      <c r="BQ38" s="77"/>
      <c r="BR38" s="77"/>
      <c r="BS38" s="77"/>
      <c r="BT38" s="77"/>
      <c r="BU38" s="77"/>
      <c r="BV38" s="77"/>
      <c r="BW38" s="77"/>
      <c r="BX38" s="77"/>
      <c r="BY38" s="77"/>
      <c r="BZ38" s="50"/>
      <c r="CA38" s="50"/>
      <c r="CB38" s="50"/>
      <c r="CC38" s="50"/>
      <c r="CD38" s="50"/>
      <c r="CE38" s="50"/>
      <c r="CF38" s="50"/>
      <c r="CG38" s="50"/>
      <c r="CH38" s="50"/>
      <c r="CI38" s="50"/>
      <c r="CJ38" s="50"/>
      <c r="CK38" s="50"/>
      <c r="CL38" s="50"/>
      <c r="CM38" s="50"/>
      <c r="CN38" s="52"/>
    </row>
    <row r="39" spans="2:92" x14ac:dyDescent="0.2">
      <c r="B39" s="142" t="s">
        <v>186</v>
      </c>
      <c r="C39" s="3">
        <v>100000</v>
      </c>
      <c r="D39" s="3">
        <v>200000</v>
      </c>
      <c r="E39" s="3">
        <v>121681</v>
      </c>
      <c r="G39" s="48"/>
      <c r="H39" s="50"/>
      <c r="I39" s="50"/>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51"/>
      <c r="AL39" s="51"/>
      <c r="AM39" s="77"/>
      <c r="AN39" s="50"/>
      <c r="AO39" s="50"/>
      <c r="AP39" s="83"/>
      <c r="AQ39" s="50"/>
      <c r="AR39" s="50"/>
      <c r="AS39" s="50"/>
      <c r="AT39" s="79"/>
      <c r="AU39" s="79"/>
      <c r="AV39" s="79"/>
      <c r="AW39" s="79"/>
      <c r="AX39" s="79"/>
      <c r="AY39" s="79"/>
      <c r="AZ39" s="79"/>
      <c r="BA39" s="79"/>
      <c r="BB39" s="79"/>
      <c r="BC39" s="80"/>
      <c r="BD39" s="77"/>
      <c r="BE39" s="77"/>
      <c r="BF39" s="77"/>
      <c r="BG39" s="77"/>
      <c r="BH39" s="77"/>
      <c r="BI39" s="77"/>
      <c r="BJ39" s="77"/>
      <c r="BK39" s="77"/>
      <c r="BL39" s="77"/>
      <c r="BM39" s="77"/>
      <c r="BN39" s="77"/>
      <c r="BO39" s="77"/>
      <c r="BP39" s="77"/>
      <c r="BQ39" s="77"/>
      <c r="BR39" s="77"/>
      <c r="BS39" s="77"/>
      <c r="BT39" s="77"/>
      <c r="BU39" s="77"/>
      <c r="BV39" s="77"/>
      <c r="BW39" s="77"/>
      <c r="BX39" s="77"/>
      <c r="BY39" s="77"/>
      <c r="BZ39" s="50"/>
      <c r="CA39" s="50"/>
      <c r="CB39" s="50"/>
      <c r="CC39" s="50"/>
      <c r="CD39" s="50"/>
      <c r="CE39" s="50"/>
      <c r="CF39" s="50"/>
      <c r="CG39" s="50"/>
      <c r="CH39" s="50"/>
      <c r="CI39" s="50"/>
      <c r="CJ39" s="50"/>
      <c r="CK39" s="50"/>
      <c r="CL39" s="50"/>
      <c r="CM39" s="50"/>
      <c r="CN39" s="52"/>
    </row>
    <row r="40" spans="2:92" x14ac:dyDescent="0.2">
      <c r="B40" s="142" t="s">
        <v>187</v>
      </c>
      <c r="C40" s="3">
        <v>50000</v>
      </c>
      <c r="D40" s="3">
        <v>135000</v>
      </c>
      <c r="E40" s="3">
        <v>105100</v>
      </c>
      <c r="G40" s="48"/>
      <c r="H40" s="50"/>
      <c r="I40" s="50"/>
      <c r="J40" s="176" t="str">
        <f>B7</f>
        <v>EUI After Measures</v>
      </c>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51"/>
      <c r="AL40" s="51"/>
      <c r="AM40" s="77"/>
      <c r="AN40" s="50"/>
      <c r="AO40" s="50"/>
      <c r="AP40" s="84"/>
      <c r="AQ40" s="50"/>
      <c r="AR40" s="50"/>
      <c r="AS40" s="50"/>
      <c r="AT40" s="177">
        <f>C7</f>
        <v>81690.035966110707</v>
      </c>
      <c r="AU40" s="177"/>
      <c r="AV40" s="177"/>
      <c r="AW40" s="177"/>
      <c r="AX40" s="177"/>
      <c r="AY40" s="177"/>
      <c r="AZ40" s="177"/>
      <c r="BA40" s="177"/>
      <c r="BB40" s="177"/>
      <c r="BC40" s="114" t="s">
        <v>92</v>
      </c>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50"/>
      <c r="CB40" s="50"/>
      <c r="CC40" s="50"/>
      <c r="CD40" s="50"/>
      <c r="CE40" s="50"/>
      <c r="CF40" s="50"/>
      <c r="CG40" s="50"/>
      <c r="CH40" s="50"/>
      <c r="CI40" s="50"/>
      <c r="CJ40" s="50"/>
      <c r="CK40" s="50"/>
      <c r="CL40" s="50"/>
      <c r="CM40" s="50"/>
      <c r="CN40" s="52"/>
    </row>
    <row r="41" spans="2:92" ht="13.5" thickBot="1" x14ac:dyDescent="0.25">
      <c r="B41" s="142" t="s">
        <v>188</v>
      </c>
      <c r="C41" s="3">
        <v>25000</v>
      </c>
      <c r="D41" s="3">
        <v>70000</v>
      </c>
      <c r="E41" s="3">
        <v>71805</v>
      </c>
      <c r="G41" s="63"/>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6"/>
    </row>
    <row r="42" spans="2:92" x14ac:dyDescent="0.2">
      <c r="B42" s="142" t="s">
        <v>189</v>
      </c>
      <c r="C42" s="3">
        <v>35000</v>
      </c>
      <c r="D42" s="3">
        <v>80000</v>
      </c>
      <c r="E42" s="3">
        <v>50000</v>
      </c>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row>
    <row r="43" spans="2:92" x14ac:dyDescent="0.2">
      <c r="B43" s="142" t="s">
        <v>190</v>
      </c>
      <c r="C43" s="3">
        <v>100000</v>
      </c>
      <c r="D43" s="3">
        <v>400000</v>
      </c>
      <c r="E43" s="3">
        <v>365164</v>
      </c>
    </row>
    <row r="44" spans="2:92" x14ac:dyDescent="0.2">
      <c r="B44" s="142" t="s">
        <v>191</v>
      </c>
      <c r="C44" s="3">
        <v>62000</v>
      </c>
      <c r="D44" s="3">
        <v>105000</v>
      </c>
      <c r="E44" s="3">
        <v>78160</v>
      </c>
    </row>
    <row r="45" spans="2:92" x14ac:dyDescent="0.2">
      <c r="B45" s="142" t="s">
        <v>196</v>
      </c>
      <c r="C45" s="3">
        <v>20000</v>
      </c>
      <c r="D45" s="3">
        <v>60000</v>
      </c>
      <c r="E45" s="3">
        <v>45755</v>
      </c>
    </row>
    <row r="46" spans="2:92" x14ac:dyDescent="0.2">
      <c r="B46" s="85"/>
      <c r="C46" s="3"/>
      <c r="D46" s="3"/>
      <c r="E46" s="3"/>
    </row>
    <row r="47" spans="2:92" x14ac:dyDescent="0.2">
      <c r="B47" s="142"/>
      <c r="C47" s="16"/>
      <c r="D47" s="16"/>
      <c r="E47" s="16"/>
    </row>
    <row r="48" spans="2:92" x14ac:dyDescent="0.2">
      <c r="B48" s="142"/>
      <c r="C48" s="16"/>
      <c r="D48" s="16"/>
      <c r="E48" s="16"/>
    </row>
    <row r="49" spans="2:5" x14ac:dyDescent="0.2">
      <c r="B49" s="143"/>
      <c r="C49" s="144"/>
      <c r="D49" s="16"/>
      <c r="E49" s="16"/>
    </row>
    <row r="50" spans="2:5" x14ac:dyDescent="0.2">
      <c r="B50" s="143"/>
      <c r="C50" s="16"/>
      <c r="D50" s="16"/>
      <c r="E50" s="16"/>
    </row>
    <row r="51" spans="2:5" x14ac:dyDescent="0.2">
      <c r="B51" s="142"/>
      <c r="C51" s="16"/>
      <c r="D51" s="16"/>
      <c r="E51" s="16"/>
    </row>
    <row r="52" spans="2:5" x14ac:dyDescent="0.2">
      <c r="B52" s="142"/>
      <c r="C52" s="16"/>
      <c r="D52" s="16"/>
      <c r="E52" s="16"/>
    </row>
    <row r="53" spans="2:5" x14ac:dyDescent="0.2">
      <c r="B53" s="142"/>
      <c r="C53" s="16"/>
      <c r="D53" s="16"/>
      <c r="E53" s="16"/>
    </row>
    <row r="54" spans="2:5" x14ac:dyDescent="0.2">
      <c r="B54" s="142"/>
      <c r="C54" s="16"/>
      <c r="D54" s="16"/>
      <c r="E54" s="16"/>
    </row>
    <row r="55" spans="2:5" x14ac:dyDescent="0.2">
      <c r="B55" s="142"/>
      <c r="C55" s="16"/>
      <c r="D55" s="16"/>
      <c r="E55" s="16"/>
    </row>
    <row r="58" spans="2:5" x14ac:dyDescent="0.2">
      <c r="C58" s="1"/>
      <c r="D58" s="1"/>
      <c r="E58" s="1"/>
    </row>
    <row r="59" spans="2:5" x14ac:dyDescent="0.2">
      <c r="C59" s="124"/>
      <c r="D59" s="124"/>
      <c r="E59" s="124"/>
    </row>
    <row r="60" spans="2:5" x14ac:dyDescent="0.2">
      <c r="C60" s="124"/>
      <c r="D60" s="124"/>
      <c r="E60" s="124"/>
    </row>
    <row r="61" spans="2:5" x14ac:dyDescent="0.2">
      <c r="C61" s="124"/>
      <c r="D61" s="124"/>
      <c r="E61" s="124"/>
    </row>
    <row r="62" spans="2:5" x14ac:dyDescent="0.2">
      <c r="C62" s="124"/>
      <c r="D62" s="124"/>
      <c r="E62" s="124"/>
    </row>
    <row r="63" spans="2:5" x14ac:dyDescent="0.2">
      <c r="C63" s="124"/>
      <c r="D63" s="124"/>
      <c r="E63" s="124"/>
    </row>
    <row r="64" spans="2:5" x14ac:dyDescent="0.2">
      <c r="C64" s="6"/>
      <c r="D64" s="6"/>
      <c r="E64" s="6"/>
    </row>
    <row r="65" spans="3:5" x14ac:dyDescent="0.2">
      <c r="C65" s="124"/>
      <c r="D65" s="124"/>
      <c r="E65" s="124"/>
    </row>
    <row r="66" spans="3:5" x14ac:dyDescent="0.2">
      <c r="C66" s="124"/>
      <c r="D66" s="124"/>
      <c r="E66" s="124"/>
    </row>
    <row r="67" spans="3:5" x14ac:dyDescent="0.2">
      <c r="C67" s="124"/>
      <c r="D67" s="124"/>
      <c r="E67" s="124"/>
    </row>
    <row r="68" spans="3:5" x14ac:dyDescent="0.2">
      <c r="C68" s="6"/>
      <c r="D68" s="6"/>
      <c r="E68" s="6"/>
    </row>
    <row r="69" spans="3:5" x14ac:dyDescent="0.2">
      <c r="C69" s="124"/>
      <c r="D69" s="124"/>
      <c r="E69" s="124"/>
    </row>
    <row r="70" spans="3:5" x14ac:dyDescent="0.2">
      <c r="C70" s="6"/>
      <c r="D70" s="6"/>
      <c r="E70" s="6"/>
    </row>
    <row r="71" spans="3:5" x14ac:dyDescent="0.2">
      <c r="C71" s="6"/>
      <c r="D71" s="6"/>
      <c r="E71" s="6"/>
    </row>
    <row r="72" spans="3:5" x14ac:dyDescent="0.2">
      <c r="C72" s="6"/>
      <c r="D72" s="6"/>
      <c r="E72" s="6"/>
    </row>
    <row r="73" spans="3:5" x14ac:dyDescent="0.2">
      <c r="C73" s="124"/>
      <c r="D73" s="124"/>
      <c r="E73" s="124"/>
    </row>
    <row r="74" spans="3:5" x14ac:dyDescent="0.2">
      <c r="C74" s="6"/>
      <c r="D74" s="6"/>
      <c r="E74" s="6"/>
    </row>
  </sheetData>
  <sortState ref="B59:E74">
    <sortCondition ref="B59:B74"/>
  </sortState>
  <mergeCells count="53">
    <mergeCell ref="C22:E22"/>
    <mergeCell ref="J38:AJ38"/>
    <mergeCell ref="AK38:AL38"/>
    <mergeCell ref="AT38:BB38"/>
    <mergeCell ref="J36:AJ36"/>
    <mergeCell ref="AK36:AL36"/>
    <mergeCell ref="AT36:BB36"/>
    <mergeCell ref="I28:K28"/>
    <mergeCell ref="Q28:V28"/>
    <mergeCell ref="AA28:AF28"/>
    <mergeCell ref="J18:AJ18"/>
    <mergeCell ref="AK18:AL18"/>
    <mergeCell ref="AT18:BB18"/>
    <mergeCell ref="J40:AJ40"/>
    <mergeCell ref="AT40:BB40"/>
    <mergeCell ref="J32:CK32"/>
    <mergeCell ref="AK28:AP28"/>
    <mergeCell ref="J34:AJ34"/>
    <mergeCell ref="AK34:AL34"/>
    <mergeCell ref="AT34:BB34"/>
    <mergeCell ref="BC34:BD34"/>
    <mergeCell ref="BF34:BM34"/>
    <mergeCell ref="AU28:AZ28"/>
    <mergeCell ref="BE28:BJ28"/>
    <mergeCell ref="BO28:BT28"/>
    <mergeCell ref="BY28:CD28"/>
    <mergeCell ref="BE8:BJ8"/>
    <mergeCell ref="BO8:BT8"/>
    <mergeCell ref="BY8:CD8"/>
    <mergeCell ref="CI8:CN8"/>
    <mergeCell ref="AK16:AL16"/>
    <mergeCell ref="AT16:BB16"/>
    <mergeCell ref="B1:E1"/>
    <mergeCell ref="G22:CN22"/>
    <mergeCell ref="A3:A12"/>
    <mergeCell ref="C3:E3"/>
    <mergeCell ref="G23:CN23"/>
    <mergeCell ref="C5:E5"/>
    <mergeCell ref="J16:AJ16"/>
    <mergeCell ref="J12:CK12"/>
    <mergeCell ref="J14:AJ14"/>
    <mergeCell ref="G2:CN2"/>
    <mergeCell ref="G3:CN3"/>
    <mergeCell ref="I8:K8"/>
    <mergeCell ref="Q8:V8"/>
    <mergeCell ref="AA8:AF8"/>
    <mergeCell ref="AK8:AP8"/>
    <mergeCell ref="AU8:AZ8"/>
    <mergeCell ref="CI28:CN28"/>
    <mergeCell ref="AK14:AL14"/>
    <mergeCell ref="AT14:BB14"/>
    <mergeCell ref="BC14:BD14"/>
    <mergeCell ref="BF14:BM14"/>
  </mergeCells>
  <phoneticPr fontId="0" type="noConversion"/>
  <conditionalFormatting sqref="J27:CK27 J7:CK7">
    <cfRule type="cellIs" dxfId="5" priority="1" stopIfTrue="1" operator="between">
      <formula>$C$10</formula>
      <formula>$C$12</formula>
    </cfRule>
    <cfRule type="cellIs" dxfId="4" priority="2" stopIfTrue="1" operator="between">
      <formula>$C$13</formula>
      <formula>$C$11</formula>
    </cfRule>
    <cfRule type="cellIs" dxfId="3" priority="3" stopIfTrue="1" operator="between">
      <formula>$C$12</formula>
      <formula>$C$13</formula>
    </cfRule>
  </conditionalFormatting>
  <conditionalFormatting sqref="J26:CK26">
    <cfRule type="cellIs" dxfId="2" priority="4" stopIfTrue="1" operator="between">
      <formula>$C$6</formula>
      <formula>$D$13</formula>
    </cfRule>
    <cfRule type="cellIs" dxfId="1" priority="5" stopIfTrue="1" operator="between">
      <formula>$C$7</formula>
      <formula>$E$13</formula>
    </cfRule>
  </conditionalFormatting>
  <conditionalFormatting sqref="J6:CK6">
    <cfRule type="cellIs" dxfId="0" priority="6" stopIfTrue="1" operator="between">
      <formula>$C$6</formula>
      <formula>$D$13</formula>
    </cfRule>
  </conditionalFormatting>
  <dataValidations count="1">
    <dataValidation type="list" allowBlank="1" showInputMessage="1" showErrorMessage="1" sqref="C3:E3">
      <formula1>$B$25:$B$52</formula1>
    </dataValidation>
  </dataValidations>
  <hyperlinks>
    <hyperlink ref="A2" location="Data!A1" display="Index"/>
  </hyperlinks>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9</vt:i4>
      </vt:variant>
    </vt:vector>
  </HeadingPairs>
  <TitlesOfParts>
    <vt:vector size="11" baseType="lpstr">
      <vt:lpstr>Data</vt:lpstr>
      <vt:lpstr>Benchmark</vt:lpstr>
      <vt:lpstr>Electric</vt:lpstr>
      <vt:lpstr>Demand kW</vt:lpstr>
      <vt:lpstr>Load Factor</vt:lpstr>
      <vt:lpstr>kWh vs Temp</vt:lpstr>
      <vt:lpstr>Gas</vt:lpstr>
      <vt:lpstr>Gas vs Temp</vt:lpstr>
      <vt:lpstr>MMBtu</vt:lpstr>
      <vt:lpstr>EUI</vt:lpstr>
      <vt:lpstr>Costs</vt:lpstr>
    </vt:vector>
  </TitlesOfParts>
  <Company>Puget Sound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Accounting Spreadsheet</dc:title>
  <dc:creator>Bill Younger, CEM</dc:creator>
  <cp:lastModifiedBy>Matt Flanigan</cp:lastModifiedBy>
  <cp:lastPrinted>2006-02-16T21:13:23Z</cp:lastPrinted>
  <dcterms:created xsi:type="dcterms:W3CDTF">2003-04-16T21:20:15Z</dcterms:created>
  <dcterms:modified xsi:type="dcterms:W3CDTF">2012-04-10T17:31:42Z</dcterms:modified>
</cp:coreProperties>
</file>